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51" windowHeight="9467" tabRatio="858" activeTab="2"/>
  </bookViews>
  <sheets>
    <sheet name="Имуществ комплекс" sheetId="6" r:id="rId1"/>
    <sheet name="Прямые" sheetId="7" r:id="rId2"/>
    <sheet name="ОХН" sheetId="4" r:id="rId3"/>
    <sheet name="ИТОГО БНЗ" sheetId="9" r:id="rId4"/>
    <sheet name="Тер КК" sheetId="12" r:id="rId5"/>
    <sheet name="Отр КК" sheetId="13" r:id="rId6"/>
    <sheet name="НЗ" sheetId="14" r:id="rId7"/>
  </sheets>
  <definedNames>
    <definedName name="иные">#REF!</definedName>
    <definedName name="материальные_запасы_основные_средства">#REF!</definedName>
    <definedName name="_xlnm.Print_Area" localSheetId="3">'ИТОГО БНЗ'!$A$1:$L$4</definedName>
    <definedName name="оплата_труда">#REF!</definedName>
    <definedName name="Список">#REF!</definedName>
  </definedNames>
  <calcPr calcId="144525" concurrentCalc="0"/>
</workbook>
</file>

<file path=xl/sharedStrings.xml><?xml version="1.0" encoding="utf-8"?>
<sst xmlns="http://schemas.openxmlformats.org/spreadsheetml/2006/main" count="163">
  <si>
    <t>Показатель</t>
  </si>
  <si>
    <t>Значение</t>
  </si>
  <si>
    <t>Комментарий</t>
  </si>
  <si>
    <t>Общее полезное время использования имущественного комплекса</t>
  </si>
  <si>
    <t>299 рабочих дней в году (6дневная неделя, 1 санитарный день в месяц) 8часовой рабочий день, количество посетителей, находящихся в здании библиотеки  - 50 в час</t>
  </si>
  <si>
    <t>Время использования имущественного комплекса на оказание услуги</t>
  </si>
  <si>
    <t>Среднее время посещения библиотеки (ч)= сумма норм времени по всем специалистам, непорседственно участвующим в оказании услуги</t>
  </si>
  <si>
    <t>№ п/п</t>
  </si>
  <si>
    <t xml:space="preserve">Наименование ресурса </t>
  </si>
  <si>
    <t>Фактическое количество человеко-часов персонала, задействованного в процессе оказания услуги</t>
  </si>
  <si>
    <t>Нормативное количество одновременно оказываемых услуг</t>
  </si>
  <si>
    <t>Норма трудозатрат на оказание единицы государственной услуги (человеко-часов)</t>
  </si>
  <si>
    <t>Стоимость 1 чел. – часа, руб</t>
  </si>
  <si>
    <t xml:space="preserve">Нормативные затраты </t>
  </si>
  <si>
    <t>5=4/3</t>
  </si>
  <si>
    <t>7=5*6</t>
  </si>
  <si>
    <t>1. Оплата труда работников, непосредственно связанных с оказанием услуги</t>
  </si>
  <si>
    <t>Гардеробщик</t>
  </si>
  <si>
    <r>
      <rPr>
        <sz val="9"/>
        <color rgb="FFFF0000"/>
        <rFont val="Times New Roman"/>
        <charset val="204"/>
      </rPr>
      <t>414,85руб = 52308руб* 12мес* 1,302(начисления на ФОТ)/ 1970рабочих часов в год</t>
    </r>
    <r>
      <rPr>
        <sz val="9"/>
        <color theme="1"/>
        <rFont val="Times New Roman"/>
        <charset val="204"/>
      </rPr>
      <t xml:space="preserve">
Расчет произведен на основе суммарного количества человеко-часов и количества посетителей (данные управленческой отчетности)</t>
    </r>
  </si>
  <si>
    <t>Работник регистрационного отдела</t>
  </si>
  <si>
    <t>Библиограф</t>
  </si>
  <si>
    <t>Работник отдела хранения</t>
  </si>
  <si>
    <t>ИТОГО оплата труда</t>
  </si>
  <si>
    <t>Наименование  (вид материального запаса/основного средства)</t>
  </si>
  <si>
    <t>Нормативное количество ресурса материального запаса/основного средства (шт)</t>
  </si>
  <si>
    <t>Норма (шт.)</t>
  </si>
  <si>
    <t>Срок полезного использования, лет</t>
  </si>
  <si>
    <t>Цена единицы  ресурса, руб</t>
  </si>
  <si>
    <t>8=5*7/6</t>
  </si>
  <si>
    <t>2. Материальные запасы/основные средства, потребляемые в процессе оказания государственной услуги</t>
  </si>
  <si>
    <t>Карточка регистрации читателя</t>
  </si>
  <si>
    <t>Расчет произведен на основе суммарного количества используемых мат.запасов/основных средств и количества посетителей (данные управленческой отчетности)</t>
  </si>
  <si>
    <t>Читательский билет</t>
  </si>
  <si>
    <t>Ручка</t>
  </si>
  <si>
    <t>Табурет для читателя</t>
  </si>
  <si>
    <t>Стол для читателя</t>
  </si>
  <si>
    <t>Пакет-майка для вещей читателя</t>
  </si>
  <si>
    <t>ИТОГО матзапасы/основные средства</t>
  </si>
  <si>
    <t>Срок полезного использования</t>
  </si>
  <si>
    <t>3. Иные ресурсы, непосредственно связанные с оказанием государственной услуги</t>
  </si>
  <si>
    <t>Вода питьевая</t>
  </si>
  <si>
    <t>Расчет произведен на основе суммарного количества используемых иных ресурсов и количества посетителей (данные управленческой отчетности)</t>
  </si>
  <si>
    <t>Одноразовый стакан</t>
  </si>
  <si>
    <t>ИТОГО иные ресурсы</t>
  </si>
  <si>
    <t>ВСЕГО нормативные затраты, непосредственно связанные с оказанием услуги</t>
  </si>
  <si>
    <t>Вид ресурса</t>
  </si>
  <si>
    <t>Наименование ресурса</t>
  </si>
  <si>
    <t>Наименование показателя объема</t>
  </si>
  <si>
    <t>Показатель объема</t>
  </si>
  <si>
    <t>Время использования имущественного комплекса на 1 посещение</t>
  </si>
  <si>
    <t>Норма ресурса на единицу услуги</t>
  </si>
  <si>
    <t>Тариф (Цена), руб</t>
  </si>
  <si>
    <t>Временные характеристики</t>
  </si>
  <si>
    <t>Плановые затраты</t>
  </si>
  <si>
    <t>Комментарий (обоснование использования ресурсов, их состава и количественных характеристик)</t>
  </si>
  <si>
    <t>6=3*5/4</t>
  </si>
  <si>
    <t>9=6*7*8</t>
  </si>
  <si>
    <t>1. Коммунальные услуги</t>
  </si>
  <si>
    <t>Электроэнергия 1</t>
  </si>
  <si>
    <t>кВт час.</t>
  </si>
  <si>
    <t>Теплоэнергия</t>
  </si>
  <si>
    <t>Ккал</t>
  </si>
  <si>
    <t>Холодное водоснабжение</t>
  </si>
  <si>
    <r>
      <rPr>
        <sz val="10"/>
        <color indexed="8"/>
        <rFont val="Times New Roman"/>
        <charset val="204"/>
      </rPr>
      <t>м</t>
    </r>
    <r>
      <rPr>
        <vertAlign val="superscript"/>
        <sz val="10"/>
        <color indexed="8"/>
        <rFont val="Times New Roman"/>
        <charset val="204"/>
      </rPr>
      <t>3</t>
    </r>
  </si>
  <si>
    <t>Водоотведение</t>
  </si>
  <si>
    <t>ИТОГО</t>
  </si>
  <si>
    <t>2. Содержание объектов недвижимого имущества, необходимого для выполнения государственного задания</t>
  </si>
  <si>
    <t>Техническое обслуживание и регламентно-профилактический ремонт систем охранно-тревожной сигнализации</t>
  </si>
  <si>
    <t>количество устройств, ед.</t>
  </si>
  <si>
    <t>Проведение текущего ремонта</t>
  </si>
  <si>
    <t>площадь здания, планируемая к проведению текущего ремонта (кв.м.)</t>
  </si>
  <si>
    <t>Содержание прилегающей территории</t>
  </si>
  <si>
    <t>площадь закрепленной территории (кв.м.)</t>
  </si>
  <si>
    <t>Обслуживание и уборка помещения</t>
  </si>
  <si>
    <t>площадь, в отношении которой заключен договор (кв.м.)</t>
  </si>
  <si>
    <t>Вывоз ТБО</t>
  </si>
  <si>
    <t>куб.м.</t>
  </si>
  <si>
    <t>Охрана здания</t>
  </si>
  <si>
    <t>договор</t>
  </si>
  <si>
    <t>3. Содержание объектов особо ценного движимого имущества, необходимого для выполнения государственного задания</t>
  </si>
  <si>
    <t>Техническое обслуживание и регламентно-профилактический ремонт системы газового пожаротушения</t>
  </si>
  <si>
    <t>количество датчиков (ед.)</t>
  </si>
  <si>
    <t>Техническое обслуживание и регламентно-профилактический ремонт систем контроля и управления доступом</t>
  </si>
  <si>
    <t>Техническое обслуживание и регламентно-профилактический ремонт систем видеонаблюдения</t>
  </si>
  <si>
    <t>4. Услуги связи</t>
  </si>
  <si>
    <t>Абонентская связь</t>
  </si>
  <si>
    <t>количество номеров, ед.</t>
  </si>
  <si>
    <t>Оплата услуг сотовой связи</t>
  </si>
  <si>
    <t>Интернет</t>
  </si>
  <si>
    <t>количество каналов, ед</t>
  </si>
  <si>
    <t>Иные услуги связи</t>
  </si>
  <si>
    <t>Передача отчетов Такском</t>
  </si>
  <si>
    <t>5. Транспортные услуги</t>
  </si>
  <si>
    <t>Оплата разовых услуг пассажирских перевозок при проведении совещания</t>
  </si>
  <si>
    <t>количество разовых услуг, ед.</t>
  </si>
  <si>
    <t>Оплата проезда работников к месту нахождения учебного заведения и обратно</t>
  </si>
  <si>
    <t>количество работников, имеющих право на компенсацию, чел.</t>
  </si>
  <si>
    <t>6. Работники, которые не принимают непосредственного участия в оказании государственной услуги</t>
  </si>
  <si>
    <t>Директор</t>
  </si>
  <si>
    <t>фонд оплаты труда</t>
  </si>
  <si>
    <t>Зам.директора</t>
  </si>
  <si>
    <t>Начальник службы безопасности</t>
  </si>
  <si>
    <t>Специалист по кадрам</t>
  </si>
  <si>
    <t>Секретарь</t>
  </si>
  <si>
    <t>Главный бухгалтер</t>
  </si>
  <si>
    <t>Бухгалтер</t>
  </si>
  <si>
    <t>Главный инженер</t>
  </si>
  <si>
    <t>Инженер по эксплуатации зданий и сооружений</t>
  </si>
  <si>
    <t>Начальник хозяйственного отдела</t>
  </si>
  <si>
    <t>Электромонтер</t>
  </si>
  <si>
    <t>Рабочий по обслуживанию и ремонту зданий</t>
  </si>
  <si>
    <t>Агент</t>
  </si>
  <si>
    <t>системный администратор</t>
  </si>
  <si>
    <t>Уборщик</t>
  </si>
  <si>
    <t>7. Прочие общехозяйственные нужды</t>
  </si>
  <si>
    <t>Реагирование полиции при тревоге</t>
  </si>
  <si>
    <t>сумма в год</t>
  </si>
  <si>
    <t>Ремонт офисной техники</t>
  </si>
  <si>
    <t>Утилизация</t>
  </si>
  <si>
    <t>Юридические услуги</t>
  </si>
  <si>
    <t>Обслуживание баз данных бугалтерии</t>
  </si>
  <si>
    <t>Бумага писчая</t>
  </si>
  <si>
    <t>пач</t>
  </si>
  <si>
    <t xml:space="preserve">канцтовары </t>
  </si>
  <si>
    <t>хоз.товары</t>
  </si>
  <si>
    <t>Наименование государственной услуги</t>
  </si>
  <si>
    <t>Затраты, непосредственно связанные с оказанием услуги, руб.</t>
  </si>
  <si>
    <t>Затраты на общехозяйственные нужды, руб</t>
  </si>
  <si>
    <t>Базовый норматив затрат на оказание услуги, руб.</t>
  </si>
  <si>
    <t>ОТ1</t>
  </si>
  <si>
    <t>МЗ и ОЦДИ</t>
  </si>
  <si>
    <t>ИНЗ</t>
  </si>
  <si>
    <t>КУ</t>
  </si>
  <si>
    <t>СНИ</t>
  </si>
  <si>
    <t>СОЦДИ</t>
  </si>
  <si>
    <t>УС</t>
  </si>
  <si>
    <t>ТУ</t>
  </si>
  <si>
    <t>ОТ2</t>
  </si>
  <si>
    <t>ПНЗ</t>
  </si>
  <si>
    <t>12=1+2+3+4+5+6+7+8+9+10+11</t>
  </si>
  <si>
    <t>Услуга по библиотечному,библиографическому и информационному обслуживанию пользователей библиотеки (показатель объема - количество посещений)</t>
  </si>
  <si>
    <t xml:space="preserve"> </t>
  </si>
  <si>
    <t>Наименование субъекта РФ</t>
  </si>
  <si>
    <t>Базовый норматив затрат</t>
  </si>
  <si>
    <t>Среднемесячная номинальная начисленная заработная плата в целом по экономике по субъекту Российской Федерации, на территории которого оказывается услуга, в 2014г.</t>
  </si>
  <si>
    <t>Среднемесячная номинальная начисленная заработная плата в целом по экономике по субъекту Российской Федерации, данные по которому использовались для определения базового норматива затрат, в 2014г. (Москва)</t>
  </si>
  <si>
    <t>Территориальный корректирующий коэффициент на оплату труда</t>
  </si>
  <si>
    <t>Затраты на коммунальные услуги и на содержание объектов недвижимого имущества, необходимого для выполнения государственного задания, определяемыми в соответствии с натуральными нормами, ценами и тарифами на данные услуги, в субъекте Российской Федерации, на территории которого оказывается услуга</t>
  </si>
  <si>
    <t>Территориальный корректирующий коэффициент на коммунальные услуги и на содержание недвижимого имущества</t>
  </si>
  <si>
    <t>Территориальный корректирующий коэффициент</t>
  </si>
  <si>
    <t>9=7/8</t>
  </si>
  <si>
    <t>11=10/(5+6)</t>
  </si>
  <si>
    <t>Услуга по библиотечному, библиографическому и информационному обслуживанию пользователей библиотеки (показатель объема - количество посещений)</t>
  </si>
  <si>
    <t>Москва</t>
  </si>
  <si>
    <t>Санкт-Петербург</t>
  </si>
  <si>
    <t>Условие, отражающее специфику услуги</t>
  </si>
  <si>
    <t>Отраслевой корректирующий коэффициент</t>
  </si>
  <si>
    <t>Услуга по библиотечному, библиографическому и информационному обслуживанию пользователей библиотеки</t>
  </si>
  <si>
    <t>В стационарных условиях</t>
  </si>
  <si>
    <t>Работа с уникальным фондом</t>
  </si>
  <si>
    <t>Наименование субъекта РФ, на территории которого оказывается услуга</t>
  </si>
  <si>
    <t>Нормативные затраты на оказание i-ой услуги, руб.</t>
  </si>
  <si>
    <t>7=4*5*6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</si>
</sst>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0.00000000"/>
    <numFmt numFmtId="177" formatCode="_ * #,##0_ ;_ * \-#,##0_ ;_ * &quot;-&quot;_ ;_ @_ "/>
    <numFmt numFmtId="178" formatCode="0.0"/>
    <numFmt numFmtId="179" formatCode="_ * #,##0.00_ ;_ * \-#,##0.00_ ;_ * &quot;-&quot;??_ ;_ @_ "/>
    <numFmt numFmtId="180" formatCode="0.00000"/>
  </numFmts>
  <fonts count="38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b/>
      <i/>
      <sz val="10"/>
      <color theme="1"/>
      <name val="Times New Roman"/>
      <charset val="204"/>
    </font>
    <font>
      <sz val="10"/>
      <color indexed="8"/>
      <name val="Times New Roman"/>
      <charset val="204"/>
    </font>
    <font>
      <sz val="9"/>
      <name val="Times New Roman"/>
      <charset val="204"/>
    </font>
    <font>
      <sz val="11"/>
      <color indexed="8"/>
      <name val="Times New Roman"/>
      <charset val="204"/>
    </font>
    <font>
      <b/>
      <i/>
      <sz val="11"/>
      <color rgb="FFFF0000"/>
      <name val="Times New Roman"/>
      <charset val="204"/>
    </font>
    <font>
      <b/>
      <i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8"/>
      <color theme="1"/>
      <name val="Times New Roman"/>
      <charset val="204"/>
    </font>
    <font>
      <b/>
      <sz val="8"/>
      <color theme="1"/>
      <name val="Times New Roman"/>
      <charset val="204"/>
    </font>
    <font>
      <sz val="10"/>
      <name val="Times New Roman"/>
      <charset val="204"/>
    </font>
    <font>
      <b/>
      <sz val="8"/>
      <color theme="1"/>
      <name val="Arial"/>
      <charset val="204"/>
    </font>
    <font>
      <sz val="9"/>
      <color theme="1"/>
      <name val="Times New Roman"/>
      <charset val="204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vertAlign val="superscript"/>
      <sz val="10"/>
      <color indexed="8"/>
      <name val="Times New Roman"/>
      <charset val="204"/>
    </font>
    <font>
      <sz val="9"/>
      <color rgb="FFFF0000"/>
      <name val="Times New Roman"/>
      <charset val="204"/>
    </font>
  </fonts>
  <fills count="3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6" fillId="12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9" fillId="0" borderId="0"/>
    <xf numFmtId="0" fontId="26" fillId="2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34" fillId="9" borderId="21" applyNumberFormat="0" applyAlignment="0" applyProtection="0">
      <alignment vertical="center"/>
    </xf>
    <xf numFmtId="0" fontId="16" fillId="8" borderId="14" applyNumberFormat="0" applyFont="0" applyAlignment="0" applyProtection="0">
      <alignment vertical="center"/>
    </xf>
    <xf numFmtId="0" fontId="28" fillId="0" borderId="0"/>
    <xf numFmtId="0" fontId="26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0" borderId="15" applyNumberFormat="0" applyAlignment="0" applyProtection="0">
      <alignment vertical="center"/>
    </xf>
    <xf numFmtId="0" fontId="33" fillId="36" borderId="20" applyNumberFormat="0" applyAlignment="0" applyProtection="0">
      <alignment vertical="center"/>
    </xf>
    <xf numFmtId="0" fontId="20" fillId="9" borderId="15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</cellStyleXfs>
  <cellXfs count="11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/>
    <xf numFmtId="2" fontId="2" fillId="3" borderId="1" xfId="0" applyNumberFormat="1" applyFont="1" applyFill="1" applyBorder="1" applyAlignment="1">
      <alignment horizontal="center"/>
    </xf>
    <xf numFmtId="180" fontId="2" fillId="3" borderId="1" xfId="0" applyNumberFormat="1" applyFont="1" applyFill="1" applyBorder="1" applyAlignment="1">
      <alignment horizontal="center"/>
    </xf>
    <xf numFmtId="180" fontId="3" fillId="3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/>
    </xf>
    <xf numFmtId="2" fontId="1" fillId="0" borderId="0" xfId="0" applyNumberFormat="1" applyFont="1"/>
    <xf numFmtId="0" fontId="2" fillId="0" borderId="0" xfId="0" applyFont="1"/>
    <xf numFmtId="0" fontId="2" fillId="2" borderId="0" xfId="0" applyFont="1" applyFill="1"/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1" fillId="2" borderId="1" xfId="0" applyFont="1" applyFill="1" applyBorder="1"/>
    <xf numFmtId="178" fontId="2" fillId="2" borderId="1" xfId="0" applyNumberFormat="1" applyFont="1" applyFill="1" applyBorder="1"/>
    <xf numFmtId="176" fontId="2" fillId="0" borderId="1" xfId="0" applyNumberFormat="1" applyFont="1" applyBorder="1"/>
    <xf numFmtId="0" fontId="5" fillId="0" borderId="1" xfId="0" applyFont="1" applyBorder="1" applyAlignment="1">
      <alignment wrapText="1"/>
    </xf>
    <xf numFmtId="0" fontId="4" fillId="3" borderId="3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6" fillId="7" borderId="9" xfId="15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wrapText="1"/>
    </xf>
    <xf numFmtId="0" fontId="6" fillId="7" borderId="10" xfId="15" applyFont="1" applyFill="1" applyBorder="1" applyAlignment="1" applyProtection="1">
      <alignment horizontal="left" vertical="center" wrapText="1"/>
      <protection locked="0"/>
    </xf>
    <xf numFmtId="0" fontId="6" fillId="7" borderId="1" xfId="15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2" fillId="2" borderId="1" xfId="0" applyFont="1" applyFill="1" applyBorder="1"/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4" fillId="0" borderId="4" xfId="0" applyFont="1" applyBorder="1" applyAlignment="1">
      <alignment horizontal="left" wrapText="1"/>
    </xf>
    <xf numFmtId="2" fontId="2" fillId="3" borderId="1" xfId="0" applyNumberFormat="1" applyFont="1" applyFill="1" applyBorder="1"/>
    <xf numFmtId="0" fontId="4" fillId="3" borderId="4" xfId="0" applyFont="1" applyFill="1" applyBorder="1" applyAlignment="1">
      <alignment horizontal="right" vertical="center"/>
    </xf>
    <xf numFmtId="2" fontId="4" fillId="3" borderId="1" xfId="0" applyNumberFormat="1" applyFont="1" applyFill="1" applyBorder="1" applyAlignment="1"/>
    <xf numFmtId="2" fontId="4" fillId="3" borderId="1" xfId="0" applyNumberFormat="1" applyFont="1" applyFill="1" applyBorder="1"/>
    <xf numFmtId="0" fontId="4" fillId="0" borderId="11" xfId="0" applyFont="1" applyBorder="1" applyAlignment="1">
      <alignment horizontal="left" wrapText="1"/>
    </xf>
    <xf numFmtId="0" fontId="8" fillId="0" borderId="11" xfId="0" applyFont="1" applyBorder="1" applyAlignment="1">
      <alignment horizontal="right" vertical="center"/>
    </xf>
    <xf numFmtId="2" fontId="9" fillId="3" borderId="1" xfId="0" applyNumberFormat="1" applyFont="1" applyFill="1" applyBorder="1"/>
    <xf numFmtId="0" fontId="10" fillId="4" borderId="0" xfId="0" applyFont="1" applyFill="1"/>
    <xf numFmtId="0" fontId="11" fillId="0" borderId="0" xfId="0" applyFont="1"/>
    <xf numFmtId="0" fontId="10" fillId="0" borderId="0" xfId="0" applyFont="1"/>
    <xf numFmtId="0" fontId="10" fillId="2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/>
    <xf numFmtId="0" fontId="10" fillId="4" borderId="1" xfId="0" applyFont="1" applyFill="1" applyBorder="1"/>
    <xf numFmtId="2" fontId="10" fillId="0" borderId="1" xfId="0" applyNumberFormat="1" applyFont="1" applyBorder="1"/>
    <xf numFmtId="2" fontId="10" fillId="3" borderId="1" xfId="0" applyNumberFormat="1" applyFont="1" applyFill="1" applyBorder="1"/>
    <xf numFmtId="0" fontId="10" fillId="3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right"/>
    </xf>
    <xf numFmtId="0" fontId="2" fillId="6" borderId="1" xfId="0" applyFont="1" applyFill="1" applyBorder="1"/>
    <xf numFmtId="0" fontId="4" fillId="6" borderId="3" xfId="0" applyFont="1" applyFill="1" applyBorder="1" applyAlignment="1">
      <alignment horizontal="right" vertical="center"/>
    </xf>
    <xf numFmtId="0" fontId="4" fillId="6" borderId="6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2" fontId="9" fillId="4" borderId="8" xfId="0" applyNumberFormat="1" applyFont="1" applyFill="1" applyBorder="1"/>
    <xf numFmtId="0" fontId="14" fillId="2" borderId="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/>
    </xf>
    <xf numFmtId="0" fontId="5" fillId="0" borderId="1" xfId="0" applyFont="1" applyBorder="1" applyAlignment="1">
      <alignment horizontal="right" vertical="center" wrapText="1"/>
    </xf>
    <xf numFmtId="0" fontId="10" fillId="0" borderId="1" xfId="0" applyFont="1" applyBorder="1"/>
    <xf numFmtId="178" fontId="13" fillId="0" borderId="1" xfId="0" applyNumberFormat="1" applyFont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2" fontId="9" fillId="4" borderId="1" xfId="0" applyNumberFormat="1" applyFont="1" applyFill="1" applyBorder="1"/>
    <xf numFmtId="0" fontId="9" fillId="0" borderId="1" xfId="0" applyFont="1" applyBorder="1" applyAlignment="1">
      <alignment horizontal="left"/>
    </xf>
    <xf numFmtId="0" fontId="1" fillId="6" borderId="1" xfId="0" applyFont="1" applyFill="1" applyBorder="1"/>
    <xf numFmtId="0" fontId="8" fillId="0" borderId="3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9" fillId="0" borderId="4" xfId="0" applyFont="1" applyBorder="1" applyAlignment="1">
      <alignment horizontal="left"/>
    </xf>
    <xf numFmtId="0" fontId="15" fillId="0" borderId="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/>
    </xf>
    <xf numFmtId="0" fontId="10" fillId="6" borderId="2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78" fontId="2" fillId="0" borderId="1" xfId="0" applyNumberFormat="1" applyFont="1" applyBorder="1"/>
  </cellXfs>
  <cellStyles count="49">
    <cellStyle name="Обычный" xfId="0" builtinId="0"/>
    <cellStyle name="20% — Акцент3" xfId="1" builtinId="38"/>
    <cellStyle name="Денежный [0]" xfId="2" builtinId="7"/>
    <cellStyle name="Обычный 4" xfId="3"/>
    <cellStyle name="40% — Акцент5" xfId="4" builtinId="47"/>
    <cellStyle name="Хороший" xfId="5" builtinId="26"/>
    <cellStyle name="Запятая [0]" xfId="6" builtinId="6"/>
    <cellStyle name="Денежный" xfId="7" builtinId="4"/>
    <cellStyle name="Запятая" xfId="8" builtinId="3"/>
    <cellStyle name="40% — Акцент6" xfId="9" builtinId="51"/>
    <cellStyle name="Процент" xfId="10" builtinId="5"/>
    <cellStyle name="20% — Акцент2" xfId="11" builtinId="34"/>
    <cellStyle name="Итого" xfId="12" builtinId="25"/>
    <cellStyle name="Вывод" xfId="13" builtinId="21"/>
    <cellStyle name="Примечание" xfId="14" builtinId="10"/>
    <cellStyle name="Обычный 3" xfId="15"/>
    <cellStyle name="40% — Акцент4" xfId="16" builtinId="43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"/>
  <sheetViews>
    <sheetView zoomScale="85" zoomScaleNormal="85" workbookViewId="0">
      <selection activeCell="B4" sqref="B4"/>
    </sheetView>
  </sheetViews>
  <sheetFormatPr defaultColWidth="8.85185185185185" defaultRowHeight="13.2" outlineLevelRow="2" outlineLevelCol="2"/>
  <cols>
    <col min="1" max="1" width="48.712962962963" style="1" customWidth="1"/>
    <col min="2" max="2" width="18.712962962963" style="1" customWidth="1"/>
    <col min="3" max="3" width="26.4259259259259" style="1" customWidth="1"/>
    <col min="4" max="16384" width="8.85185185185185" style="1"/>
  </cols>
  <sheetData>
    <row r="1" spans="1:3">
      <c r="A1" s="9" t="s">
        <v>0</v>
      </c>
      <c r="B1" s="9" t="s">
        <v>1</v>
      </c>
      <c r="C1" s="9" t="s">
        <v>2</v>
      </c>
    </row>
    <row r="2" ht="92.4" spans="1:3">
      <c r="A2" s="117" t="s">
        <v>3</v>
      </c>
      <c r="B2" s="9">
        <f>299*8*50</f>
        <v>119600</v>
      </c>
      <c r="C2" s="117" t="s">
        <v>4</v>
      </c>
    </row>
    <row r="3" ht="92.4" spans="1:3">
      <c r="A3" s="117" t="s">
        <v>5</v>
      </c>
      <c r="B3" s="118">
        <f>SUM(Прямые!$E$4:$E$7)</f>
        <v>0.699773673067095</v>
      </c>
      <c r="C3" s="117" t="s">
        <v>6</v>
      </c>
    </row>
  </sheetData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zoomScale="85" zoomScaleNormal="85" workbookViewId="0">
      <pane ySplit="1" topLeftCell="A2" activePane="bottomLeft" state="frozen"/>
      <selection/>
      <selection pane="bottomLeft" activeCell="E1" sqref="E1"/>
    </sheetView>
  </sheetViews>
  <sheetFormatPr defaultColWidth="8.85185185185185" defaultRowHeight="13.8"/>
  <cols>
    <col min="1" max="1" width="5.71296296296296" style="64" customWidth="1"/>
    <col min="2" max="2" width="31.712962962963" style="64" customWidth="1"/>
    <col min="3" max="3" width="19.1388888888889" style="64" customWidth="1"/>
    <col min="4" max="4" width="14.8518518518519" style="65" customWidth="1"/>
    <col min="5" max="5" width="16" style="64" customWidth="1"/>
    <col min="6" max="6" width="12.712962962963" style="64" customWidth="1"/>
    <col min="7" max="7" width="9.28703703703704" style="64" customWidth="1"/>
    <col min="8" max="8" width="10.1388888888889" style="64" customWidth="1"/>
    <col min="9" max="9" width="37" style="64" customWidth="1"/>
    <col min="10" max="16384" width="8.85185185185185" style="64"/>
  </cols>
  <sheetData>
    <row r="1" ht="68.25" customHeight="1" spans="1:9">
      <c r="A1" s="66" t="s">
        <v>7</v>
      </c>
      <c r="B1" s="66" t="s">
        <v>8</v>
      </c>
      <c r="C1" s="66" t="s">
        <v>9</v>
      </c>
      <c r="D1" s="66" t="s">
        <v>10</v>
      </c>
      <c r="E1" s="66" t="s">
        <v>11</v>
      </c>
      <c r="F1" s="66"/>
      <c r="G1" s="66" t="s">
        <v>12</v>
      </c>
      <c r="H1" s="66" t="s">
        <v>13</v>
      </c>
      <c r="I1" s="66" t="s">
        <v>2</v>
      </c>
    </row>
    <row r="2" spans="1:9">
      <c r="A2" s="66">
        <v>1</v>
      </c>
      <c r="B2" s="66">
        <v>2</v>
      </c>
      <c r="C2" s="66">
        <v>3</v>
      </c>
      <c r="D2" s="66">
        <v>4</v>
      </c>
      <c r="E2" s="66" t="s">
        <v>14</v>
      </c>
      <c r="F2" s="66"/>
      <c r="G2" s="66">
        <v>6</v>
      </c>
      <c r="H2" s="66" t="s">
        <v>15</v>
      </c>
      <c r="I2" s="66">
        <v>8</v>
      </c>
    </row>
    <row r="3" spans="1:9">
      <c r="A3" s="67" t="s">
        <v>16</v>
      </c>
      <c r="B3" s="68"/>
      <c r="C3" s="68"/>
      <c r="D3" s="68"/>
      <c r="E3" s="68"/>
      <c r="F3" s="68"/>
      <c r="G3" s="68"/>
      <c r="H3" s="68"/>
      <c r="I3" s="104"/>
    </row>
    <row r="4" ht="15" customHeight="1" outlineLevel="1" spans="1:9">
      <c r="A4" s="69">
        <v>1</v>
      </c>
      <c r="B4" s="70" t="s">
        <v>17</v>
      </c>
      <c r="C4" s="21">
        <v>8912</v>
      </c>
      <c r="D4" s="51">
        <v>273940</v>
      </c>
      <c r="E4" s="71">
        <f>C4/D4</f>
        <v>0.0325326713878952</v>
      </c>
      <c r="F4" s="72"/>
      <c r="G4" s="73">
        <f>52308*12*1.302/1970</f>
        <v>414.852889340102</v>
      </c>
      <c r="H4" s="74">
        <f>IFERROR(E4*G4,0)</f>
        <v>13.4962727232204</v>
      </c>
      <c r="I4" s="105" t="s">
        <v>18</v>
      </c>
    </row>
    <row r="5" outlineLevel="1" spans="1:9">
      <c r="A5" s="69">
        <f>A4+1</f>
        <v>2</v>
      </c>
      <c r="B5" s="75" t="s">
        <v>19</v>
      </c>
      <c r="C5" s="76">
        <v>5777</v>
      </c>
      <c r="D5" s="51">
        <v>273940</v>
      </c>
      <c r="E5" s="71">
        <f t="shared" ref="E5:E7" si="0">C5/D5</f>
        <v>0.0210885595385851</v>
      </c>
      <c r="F5" s="72"/>
      <c r="G5" s="73">
        <f t="shared" ref="G5:G7" si="1">52308*12*1.302/1970</f>
        <v>414.852889340102</v>
      </c>
      <c r="H5" s="74">
        <f t="shared" ref="H5:H7" si="2">IFERROR(E5*G5,0)</f>
        <v>8.74864985660279</v>
      </c>
      <c r="I5" s="106"/>
    </row>
    <row r="6" outlineLevel="1" spans="1:9">
      <c r="A6" s="69">
        <f>A5+1</f>
        <v>3</v>
      </c>
      <c r="B6" s="70" t="s">
        <v>20</v>
      </c>
      <c r="C6" s="77">
        <v>98350</v>
      </c>
      <c r="D6" s="51">
        <v>273940</v>
      </c>
      <c r="E6" s="71">
        <f t="shared" si="0"/>
        <v>0.359020223406585</v>
      </c>
      <c r="F6" s="72"/>
      <c r="G6" s="73">
        <f t="shared" si="1"/>
        <v>414.852889340102</v>
      </c>
      <c r="H6" s="74">
        <f t="shared" si="2"/>
        <v>148.940577011751</v>
      </c>
      <c r="I6" s="106"/>
    </row>
    <row r="7" outlineLevel="1" spans="1:9">
      <c r="A7" s="69">
        <f>A6+1</f>
        <v>4</v>
      </c>
      <c r="B7" s="70" t="s">
        <v>21</v>
      </c>
      <c r="C7" s="77">
        <v>78657</v>
      </c>
      <c r="D7" s="51">
        <v>273940</v>
      </c>
      <c r="E7" s="71">
        <f t="shared" si="0"/>
        <v>0.287132218734029</v>
      </c>
      <c r="F7" s="72"/>
      <c r="G7" s="73">
        <f t="shared" si="1"/>
        <v>414.852889340102</v>
      </c>
      <c r="H7" s="74">
        <f t="shared" si="2"/>
        <v>119.117630564446</v>
      </c>
      <c r="I7" s="106"/>
    </row>
    <row r="8" outlineLevel="1" spans="1:9">
      <c r="A8" s="78" t="s">
        <v>22</v>
      </c>
      <c r="B8" s="79"/>
      <c r="C8" s="79"/>
      <c r="D8" s="79"/>
      <c r="E8" s="79"/>
      <c r="F8" s="79"/>
      <c r="G8" s="80"/>
      <c r="H8" s="61">
        <f>SUM(H4:H7)</f>
        <v>290.30313015602</v>
      </c>
      <c r="I8" s="107"/>
    </row>
    <row r="9" s="62" customFormat="1" outlineLevel="1" spans="1:9">
      <c r="A9" s="81"/>
      <c r="B9" s="81"/>
      <c r="C9" s="81"/>
      <c r="D9" s="82"/>
      <c r="E9" s="81"/>
      <c r="F9" s="81"/>
      <c r="G9" s="81"/>
      <c r="H9" s="83"/>
      <c r="I9" s="108"/>
    </row>
    <row r="10" s="63" customFormat="1" ht="68.25" customHeight="1" spans="1:9">
      <c r="A10" s="84" t="s">
        <v>7</v>
      </c>
      <c r="B10" s="84" t="s">
        <v>23</v>
      </c>
      <c r="C10" s="84" t="s">
        <v>24</v>
      </c>
      <c r="D10" s="84" t="s">
        <v>10</v>
      </c>
      <c r="E10" s="66" t="s">
        <v>25</v>
      </c>
      <c r="F10" s="66" t="s">
        <v>26</v>
      </c>
      <c r="G10" s="66" t="s">
        <v>27</v>
      </c>
      <c r="H10" s="66" t="s">
        <v>13</v>
      </c>
      <c r="I10" s="66" t="s">
        <v>2</v>
      </c>
    </row>
    <row r="11" spans="1:9">
      <c r="A11" s="66">
        <v>1</v>
      </c>
      <c r="B11" s="66">
        <v>2</v>
      </c>
      <c r="C11" s="66">
        <v>3</v>
      </c>
      <c r="D11" s="66">
        <v>4</v>
      </c>
      <c r="E11" s="66" t="s">
        <v>14</v>
      </c>
      <c r="F11" s="66">
        <v>6</v>
      </c>
      <c r="G11" s="66">
        <v>7</v>
      </c>
      <c r="H11" s="66" t="s">
        <v>28</v>
      </c>
      <c r="I11" s="66">
        <v>9</v>
      </c>
    </row>
    <row r="12" spans="1:9">
      <c r="A12" s="85" t="s">
        <v>29</v>
      </c>
      <c r="B12" s="85"/>
      <c r="C12" s="85"/>
      <c r="D12" s="85"/>
      <c r="E12" s="85"/>
      <c r="F12" s="85"/>
      <c r="G12" s="85"/>
      <c r="H12" s="85"/>
      <c r="I12" s="109"/>
    </row>
    <row r="13" outlineLevel="2" spans="1:9">
      <c r="A13" s="69">
        <v>1</v>
      </c>
      <c r="B13" s="70" t="s">
        <v>30</v>
      </c>
      <c r="C13" s="86">
        <v>4600</v>
      </c>
      <c r="D13" s="51">
        <v>273940</v>
      </c>
      <c r="E13" s="71">
        <f t="shared" ref="E13:E18" si="3">C13/D13</f>
        <v>0.0167919982477915</v>
      </c>
      <c r="F13" s="87">
        <v>1</v>
      </c>
      <c r="G13" s="73">
        <v>2</v>
      </c>
      <c r="H13" s="74">
        <f>IFERROR(E13*G13/F13,0)</f>
        <v>0.033583996495583</v>
      </c>
      <c r="I13" s="110" t="s">
        <v>31</v>
      </c>
    </row>
    <row r="14" outlineLevel="2" spans="1:9">
      <c r="A14" s="69">
        <f>A13+1</f>
        <v>2</v>
      </c>
      <c r="B14" s="70" t="s">
        <v>32</v>
      </c>
      <c r="C14" s="86">
        <v>5930</v>
      </c>
      <c r="D14" s="51">
        <v>273940</v>
      </c>
      <c r="E14" s="71">
        <f t="shared" si="3"/>
        <v>0.0216470760020442</v>
      </c>
      <c r="F14" s="87">
        <v>1</v>
      </c>
      <c r="G14" s="73">
        <v>10</v>
      </c>
      <c r="H14" s="74">
        <f>IFERROR(E14*G14/F14,0)</f>
        <v>0.216470760020442</v>
      </c>
      <c r="I14" s="111"/>
    </row>
    <row r="15" outlineLevel="2" spans="1:9">
      <c r="A15" s="69">
        <f t="shared" ref="A15:A18" si="4">A14+1</f>
        <v>3</v>
      </c>
      <c r="B15" s="70" t="s">
        <v>33</v>
      </c>
      <c r="C15" s="88">
        <v>218</v>
      </c>
      <c r="D15" s="51">
        <v>273940</v>
      </c>
      <c r="E15" s="71">
        <f t="shared" si="3"/>
        <v>0.000795794699569249</v>
      </c>
      <c r="F15" s="87">
        <v>1</v>
      </c>
      <c r="G15" s="73">
        <v>23</v>
      </c>
      <c r="H15" s="74">
        <f t="shared" ref="H15:H18" si="5">IFERROR(E15*G15/F15,0)</f>
        <v>0.0183032780900927</v>
      </c>
      <c r="I15" s="111"/>
    </row>
    <row r="16" outlineLevel="2" spans="1:9">
      <c r="A16" s="69">
        <f t="shared" si="4"/>
        <v>4</v>
      </c>
      <c r="B16" s="70" t="s">
        <v>34</v>
      </c>
      <c r="C16" s="89">
        <v>100</v>
      </c>
      <c r="D16" s="51">
        <v>273940</v>
      </c>
      <c r="E16" s="71">
        <f t="shared" si="3"/>
        <v>0.00036504344016938</v>
      </c>
      <c r="F16" s="87">
        <v>5</v>
      </c>
      <c r="G16" s="73">
        <v>1000</v>
      </c>
      <c r="H16" s="74">
        <f t="shared" si="5"/>
        <v>0.073008688033876</v>
      </c>
      <c r="I16" s="111"/>
    </row>
    <row r="17" outlineLevel="2" spans="1:9">
      <c r="A17" s="69">
        <f t="shared" si="4"/>
        <v>5</v>
      </c>
      <c r="B17" s="70" t="s">
        <v>35</v>
      </c>
      <c r="C17" s="89">
        <v>100</v>
      </c>
      <c r="D17" s="51">
        <v>273940</v>
      </c>
      <c r="E17" s="71">
        <f t="shared" si="3"/>
        <v>0.00036504344016938</v>
      </c>
      <c r="F17" s="87">
        <v>5</v>
      </c>
      <c r="G17" s="73">
        <v>2000</v>
      </c>
      <c r="H17" s="74">
        <f t="shared" si="5"/>
        <v>0.146017376067752</v>
      </c>
      <c r="I17" s="111"/>
    </row>
    <row r="18" outlineLevel="2" spans="1:9">
      <c r="A18" s="69">
        <f t="shared" si="4"/>
        <v>6</v>
      </c>
      <c r="B18" s="70" t="s">
        <v>36</v>
      </c>
      <c r="C18" s="90">
        <v>8395</v>
      </c>
      <c r="D18" s="51">
        <v>273940</v>
      </c>
      <c r="E18" s="71">
        <f t="shared" si="3"/>
        <v>0.0306453968022195</v>
      </c>
      <c r="F18" s="87">
        <v>1</v>
      </c>
      <c r="G18" s="73">
        <v>1.3</v>
      </c>
      <c r="H18" s="74">
        <f t="shared" si="5"/>
        <v>0.0398390158428853</v>
      </c>
      <c r="I18" s="111"/>
    </row>
    <row r="19" outlineLevel="2" spans="1:9">
      <c r="A19" s="91" t="s">
        <v>37</v>
      </c>
      <c r="B19" s="92"/>
      <c r="C19" s="92"/>
      <c r="D19" s="92"/>
      <c r="E19" s="92"/>
      <c r="F19" s="92"/>
      <c r="G19" s="93"/>
      <c r="H19" s="61">
        <f>SUM(H13:H17)</f>
        <v>0.487384098707746</v>
      </c>
      <c r="I19" s="112"/>
    </row>
    <row r="20" s="62" customFormat="1" outlineLevel="2" spans="1:9">
      <c r="A20" s="94"/>
      <c r="B20" s="95"/>
      <c r="C20" s="95"/>
      <c r="D20" s="96"/>
      <c r="E20" s="95"/>
      <c r="F20" s="95"/>
      <c r="G20" s="97"/>
      <c r="H20" s="98"/>
      <c r="I20" s="113"/>
    </row>
    <row r="21" s="63" customFormat="1" ht="68.25" customHeight="1" spans="1:9">
      <c r="A21" s="84" t="s">
        <v>7</v>
      </c>
      <c r="B21" s="84" t="s">
        <v>23</v>
      </c>
      <c r="C21" s="84" t="s">
        <v>24</v>
      </c>
      <c r="D21" s="84" t="s">
        <v>10</v>
      </c>
      <c r="E21" s="66" t="s">
        <v>25</v>
      </c>
      <c r="F21" s="66" t="s">
        <v>38</v>
      </c>
      <c r="G21" s="66" t="s">
        <v>27</v>
      </c>
      <c r="H21" s="66" t="s">
        <v>13</v>
      </c>
      <c r="I21" s="66" t="s">
        <v>2</v>
      </c>
    </row>
    <row r="22" spans="1:9">
      <c r="A22" s="66">
        <v>1</v>
      </c>
      <c r="B22" s="66">
        <v>2</v>
      </c>
      <c r="C22" s="66">
        <v>3</v>
      </c>
      <c r="D22" s="66">
        <v>4</v>
      </c>
      <c r="E22" s="66" t="s">
        <v>14</v>
      </c>
      <c r="F22" s="66">
        <v>6</v>
      </c>
      <c r="G22" s="66">
        <v>7</v>
      </c>
      <c r="H22" s="66" t="s">
        <v>28</v>
      </c>
      <c r="I22" s="66">
        <v>9</v>
      </c>
    </row>
    <row r="23" spans="1:9">
      <c r="A23" s="99" t="s">
        <v>39</v>
      </c>
      <c r="B23" s="99"/>
      <c r="C23" s="99"/>
      <c r="D23" s="99"/>
      <c r="E23" s="99"/>
      <c r="F23" s="99"/>
      <c r="G23" s="99"/>
      <c r="H23" s="99"/>
      <c r="I23" s="99"/>
    </row>
    <row r="24" outlineLevel="2" spans="1:9">
      <c r="A24" s="69">
        <v>1</v>
      </c>
      <c r="B24" s="71" t="s">
        <v>40</v>
      </c>
      <c r="C24" s="100">
        <v>2400</v>
      </c>
      <c r="D24" s="32">
        <v>273940</v>
      </c>
      <c r="E24" s="71">
        <f t="shared" ref="E24:E25" si="6">C24/D24</f>
        <v>0.00876104256406512</v>
      </c>
      <c r="F24" s="87">
        <v>1</v>
      </c>
      <c r="G24" s="73">
        <v>27.7</v>
      </c>
      <c r="H24" s="74">
        <f t="shared" ref="H24:H25" si="7">IFERROR(E24*G24/F24,0)</f>
        <v>0.242680879024604</v>
      </c>
      <c r="I24" s="114" t="s">
        <v>41</v>
      </c>
    </row>
    <row r="25" outlineLevel="2" spans="1:9">
      <c r="A25" s="69">
        <f>A24+1</f>
        <v>2</v>
      </c>
      <c r="B25" s="71" t="s">
        <v>42</v>
      </c>
      <c r="C25" s="100">
        <v>273940</v>
      </c>
      <c r="D25" s="32">
        <v>273940</v>
      </c>
      <c r="E25" s="71">
        <f t="shared" si="6"/>
        <v>1</v>
      </c>
      <c r="F25" s="87">
        <v>1</v>
      </c>
      <c r="G25" s="73">
        <v>1.5</v>
      </c>
      <c r="H25" s="74">
        <f t="shared" si="7"/>
        <v>1.5</v>
      </c>
      <c r="I25" s="115"/>
    </row>
    <row r="26" ht="15" customHeight="1" outlineLevel="2" spans="1:9">
      <c r="A26" s="91" t="s">
        <v>43</v>
      </c>
      <c r="B26" s="92"/>
      <c r="C26" s="92"/>
      <c r="D26" s="92"/>
      <c r="E26" s="92"/>
      <c r="F26" s="92"/>
      <c r="G26" s="93"/>
      <c r="H26" s="61">
        <f>SUM(H24:H25)</f>
        <v>1.7426808790246</v>
      </c>
      <c r="I26" s="116"/>
    </row>
    <row r="27" spans="1:9">
      <c r="A27" s="101" t="s">
        <v>44</v>
      </c>
      <c r="B27" s="102"/>
      <c r="C27" s="102"/>
      <c r="D27" s="102"/>
      <c r="E27" s="102"/>
      <c r="F27" s="102"/>
      <c r="G27" s="103"/>
      <c r="H27" s="61">
        <f>H26+H19+H8</f>
        <v>292.533195133752</v>
      </c>
      <c r="I27" s="87"/>
    </row>
  </sheetData>
  <mergeCells count="10">
    <mergeCell ref="A3:I3"/>
    <mergeCell ref="A8:G8"/>
    <mergeCell ref="A12:I12"/>
    <mergeCell ref="A19:G19"/>
    <mergeCell ref="A23:I23"/>
    <mergeCell ref="A26:G26"/>
    <mergeCell ref="A27:G27"/>
    <mergeCell ref="I4:I8"/>
    <mergeCell ref="I13:I19"/>
    <mergeCell ref="I24:I26"/>
  </mergeCells>
  <pageMargins left="0.699305555555556" right="0.699305555555556" top="0.75" bottom="0.75" header="0.3" footer="0.3"/>
  <pageSetup paperSize="9" scale="8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K59"/>
  <sheetViews>
    <sheetView tabSelected="1" zoomScale="85" zoomScaleNormal="85" topLeftCell="B1" workbookViewId="0">
      <pane ySplit="1" topLeftCell="A2" activePane="bottomLeft" state="frozen"/>
      <selection/>
      <selection pane="bottomLeft" activeCell="N49" sqref="N49"/>
    </sheetView>
  </sheetViews>
  <sheetFormatPr defaultColWidth="8.85185185185185" defaultRowHeight="13.2"/>
  <cols>
    <col min="1" max="1" width="38.8518518518519" style="21" hidden="1" customWidth="1"/>
    <col min="2" max="2" width="49.8518518518519" style="21" customWidth="1"/>
    <col min="3" max="3" width="20.5740740740741" style="21" customWidth="1"/>
    <col min="4" max="4" width="12.1388888888889" style="21" customWidth="1"/>
    <col min="5" max="5" width="14.8518518518519" style="22" customWidth="1"/>
    <col min="6" max="6" width="18.8518518518519" style="22" customWidth="1"/>
    <col min="7" max="7" width="20" style="21" customWidth="1"/>
    <col min="8" max="8" width="11.712962962963" style="21" customWidth="1"/>
    <col min="9" max="9" width="12.1388888888889" style="21" customWidth="1"/>
    <col min="10" max="10" width="16.712962962963" style="21" customWidth="1"/>
    <col min="11" max="11" width="52.1388888888889" style="21" hidden="1" customWidth="1"/>
    <col min="12" max="16384" width="8.85185185185185" style="21"/>
  </cols>
  <sheetData>
    <row r="1" ht="66" spans="1:11">
      <c r="A1" s="23" t="s">
        <v>45</v>
      </c>
      <c r="B1" s="23" t="s">
        <v>46</v>
      </c>
      <c r="C1" s="23" t="s">
        <v>47</v>
      </c>
      <c r="D1" s="23" t="s">
        <v>48</v>
      </c>
      <c r="E1" s="24" t="s">
        <v>3</v>
      </c>
      <c r="F1" s="24" t="s">
        <v>49</v>
      </c>
      <c r="G1" s="23" t="s">
        <v>50</v>
      </c>
      <c r="H1" s="23" t="s">
        <v>51</v>
      </c>
      <c r="I1" s="23" t="s">
        <v>52</v>
      </c>
      <c r="J1" s="23" t="s">
        <v>53</v>
      </c>
      <c r="K1" s="23" t="s">
        <v>54</v>
      </c>
    </row>
    <row r="2" spans="1:11">
      <c r="A2" s="25">
        <v>1</v>
      </c>
      <c r="B2" s="25">
        <v>1</v>
      </c>
      <c r="C2" s="25">
        <v>2</v>
      </c>
      <c r="D2" s="25">
        <v>3</v>
      </c>
      <c r="E2" s="2">
        <v>4</v>
      </c>
      <c r="F2" s="2">
        <v>5</v>
      </c>
      <c r="G2" s="25" t="s">
        <v>55</v>
      </c>
      <c r="H2" s="25">
        <v>7</v>
      </c>
      <c r="I2" s="25">
        <v>8</v>
      </c>
      <c r="J2" s="25" t="s">
        <v>56</v>
      </c>
      <c r="K2" s="23"/>
    </row>
    <row r="3" spans="1:11">
      <c r="A3" s="26" t="s">
        <v>57</v>
      </c>
      <c r="B3" s="27"/>
      <c r="C3" s="27"/>
      <c r="D3" s="27"/>
      <c r="E3" s="27"/>
      <c r="F3" s="27"/>
      <c r="G3" s="27"/>
      <c r="H3" s="27"/>
      <c r="I3" s="27"/>
      <c r="J3" s="27"/>
      <c r="K3" s="54"/>
    </row>
    <row r="4" outlineLevel="1" spans="1:11">
      <c r="A4" s="28"/>
      <c r="B4" s="29" t="s">
        <v>58</v>
      </c>
      <c r="C4" s="30" t="s">
        <v>59</v>
      </c>
      <c r="D4" s="31">
        <v>83065</v>
      </c>
      <c r="E4" s="32">
        <f>'Имуществ комплекс'!$B$2</f>
        <v>119600</v>
      </c>
      <c r="F4" s="33">
        <f>SUM(Прямые!$E$4:$E$7)</f>
        <v>0.699773673067095</v>
      </c>
      <c r="G4" s="34">
        <f t="shared" ref="G4:G7" si="0">D4*F4/E4</f>
        <v>0.48600919860634</v>
      </c>
      <c r="H4" s="35">
        <v>4.79</v>
      </c>
      <c r="I4" s="38"/>
      <c r="J4" s="55">
        <f t="shared" ref="J4:J7" si="1">H4*G4</f>
        <v>2.32798406132437</v>
      </c>
      <c r="K4" s="29"/>
    </row>
    <row r="5" outlineLevel="1" spans="1:11">
      <c r="A5" s="28"/>
      <c r="B5" s="29" t="s">
        <v>60</v>
      </c>
      <c r="C5" s="30" t="s">
        <v>61</v>
      </c>
      <c r="D5" s="31">
        <v>409.2</v>
      </c>
      <c r="E5" s="32">
        <f>'Имуществ комплекс'!$B$2</f>
        <v>119600</v>
      </c>
      <c r="F5" s="33">
        <f>SUM(Прямые!$E$4:$E$7)</f>
        <v>0.699773673067095</v>
      </c>
      <c r="G5" s="34">
        <f t="shared" si="0"/>
        <v>0.00239420892156401</v>
      </c>
      <c r="H5" s="35">
        <v>1834.56</v>
      </c>
      <c r="I5" s="38"/>
      <c r="J5" s="55">
        <f t="shared" si="1"/>
        <v>4.39231991914447</v>
      </c>
      <c r="K5" s="29"/>
    </row>
    <row r="6" ht="13.8" outlineLevel="1" spans="1:11">
      <c r="A6" s="28"/>
      <c r="B6" s="29" t="s">
        <v>62</v>
      </c>
      <c r="C6" s="30" t="s">
        <v>63</v>
      </c>
      <c r="D6" s="31">
        <v>1165.73</v>
      </c>
      <c r="E6" s="32">
        <f>'Имуществ комплекс'!$B$2</f>
        <v>119600</v>
      </c>
      <c r="F6" s="33">
        <f>SUM(Прямые!$E$4:$E$7)</f>
        <v>0.699773673067095</v>
      </c>
      <c r="G6" s="34">
        <f t="shared" si="0"/>
        <v>0.00682062846074</v>
      </c>
      <c r="H6" s="35">
        <v>27.31</v>
      </c>
      <c r="I6" s="38"/>
      <c r="J6" s="55">
        <f t="shared" si="1"/>
        <v>0.18627136326281</v>
      </c>
      <c r="K6" s="29"/>
    </row>
    <row r="7" ht="13.8" outlineLevel="1" spans="1:11">
      <c r="A7" s="28"/>
      <c r="B7" s="29" t="s">
        <v>64</v>
      </c>
      <c r="C7" s="30" t="s">
        <v>63</v>
      </c>
      <c r="D7" s="31">
        <v>1165.73</v>
      </c>
      <c r="E7" s="32">
        <f>'Имуществ комплекс'!$B$2</f>
        <v>119600</v>
      </c>
      <c r="F7" s="33">
        <f>SUM(Прямые!$E$4:$E$7)</f>
        <v>0.699773673067095</v>
      </c>
      <c r="G7" s="34">
        <f t="shared" si="0"/>
        <v>0.00682062846074</v>
      </c>
      <c r="H7" s="35">
        <v>19.38</v>
      </c>
      <c r="I7" s="38"/>
      <c r="J7" s="55">
        <f t="shared" si="1"/>
        <v>0.132183779569141</v>
      </c>
      <c r="K7" s="29"/>
    </row>
    <row r="8" outlineLevel="1" spans="1:11">
      <c r="A8" s="36" t="s">
        <v>65</v>
      </c>
      <c r="B8" s="37"/>
      <c r="C8" s="37"/>
      <c r="D8" s="37"/>
      <c r="E8" s="37"/>
      <c r="F8" s="37"/>
      <c r="G8" s="37"/>
      <c r="H8" s="37"/>
      <c r="I8" s="56"/>
      <c r="J8" s="57">
        <f>SUM(J4:J7)</f>
        <v>7.03875912330078</v>
      </c>
      <c r="K8" s="29"/>
    </row>
    <row r="9" spans="1:11">
      <c r="A9" s="26" t="s">
        <v>66</v>
      </c>
      <c r="B9" s="27"/>
      <c r="C9" s="27"/>
      <c r="D9" s="27"/>
      <c r="E9" s="27"/>
      <c r="F9" s="27"/>
      <c r="G9" s="27"/>
      <c r="H9" s="27"/>
      <c r="I9" s="27"/>
      <c r="J9" s="27"/>
      <c r="K9" s="54"/>
    </row>
    <row r="10" ht="26.4" outlineLevel="2" spans="1:11">
      <c r="A10" s="28"/>
      <c r="B10" s="28" t="s">
        <v>67</v>
      </c>
      <c r="C10" s="8" t="s">
        <v>68</v>
      </c>
      <c r="D10" s="31">
        <v>2</v>
      </c>
      <c r="E10" s="32">
        <f>'Имуществ комплекс'!$B$2</f>
        <v>119600</v>
      </c>
      <c r="F10" s="33">
        <f>SUM(Прямые!$E$4:$E$7)</f>
        <v>0.699773673067095</v>
      </c>
      <c r="G10" s="34">
        <f t="shared" ref="G10:G15" si="2">D10*F10/E10</f>
        <v>1.17019008874096e-5</v>
      </c>
      <c r="H10" s="35">
        <v>5342.03</v>
      </c>
      <c r="I10" s="38"/>
      <c r="J10" s="55">
        <f t="shared" ref="J10:J15" si="3">H10*G10</f>
        <v>0.0625119055975688</v>
      </c>
      <c r="K10" s="29"/>
    </row>
    <row r="11" ht="52.8" outlineLevel="2" spans="1:11">
      <c r="A11" s="28"/>
      <c r="B11" s="28" t="s">
        <v>69</v>
      </c>
      <c r="C11" s="8" t="s">
        <v>70</v>
      </c>
      <c r="D11" s="31">
        <v>83.8</v>
      </c>
      <c r="E11" s="32">
        <f>'Имуществ комплекс'!$B$2</f>
        <v>119600</v>
      </c>
      <c r="F11" s="33">
        <f>SUM(Прямые!$E$4:$E$7)</f>
        <v>0.699773673067095</v>
      </c>
      <c r="G11" s="34">
        <f t="shared" si="2"/>
        <v>0.000490309647182463</v>
      </c>
      <c r="H11" s="35">
        <v>4050.19</v>
      </c>
      <c r="I11" s="38"/>
      <c r="J11" s="55">
        <f t="shared" si="3"/>
        <v>1.98584722992194</v>
      </c>
      <c r="K11" s="29"/>
    </row>
    <row r="12" ht="26.4" outlineLevel="2" spans="1:11">
      <c r="A12" s="28"/>
      <c r="B12" s="28" t="s">
        <v>71</v>
      </c>
      <c r="C12" s="8" t="s">
        <v>72</v>
      </c>
      <c r="D12" s="38">
        <v>1</v>
      </c>
      <c r="E12" s="32">
        <f>'Имуществ комплекс'!$B$2</f>
        <v>119600</v>
      </c>
      <c r="F12" s="33">
        <f>SUM(Прямые!$E$4:$E$7)</f>
        <v>0.699773673067095</v>
      </c>
      <c r="G12" s="34">
        <f t="shared" si="2"/>
        <v>5.85095044370481e-6</v>
      </c>
      <c r="H12" s="39">
        <v>99000</v>
      </c>
      <c r="I12" s="38"/>
      <c r="J12" s="55">
        <f t="shared" si="3"/>
        <v>0.579244093926776</v>
      </c>
      <c r="K12" s="29"/>
    </row>
    <row r="13" ht="39.6" outlineLevel="2" spans="1:11">
      <c r="A13" s="28"/>
      <c r="B13" s="28" t="s">
        <v>73</v>
      </c>
      <c r="C13" s="8" t="s">
        <v>74</v>
      </c>
      <c r="D13" s="31">
        <v>2602.8</v>
      </c>
      <c r="E13" s="32">
        <f>'Имуществ комплекс'!$B$2</f>
        <v>119600</v>
      </c>
      <c r="F13" s="33">
        <f>SUM(Прямые!$E$4:$E$7)</f>
        <v>0.699773673067095</v>
      </c>
      <c r="G13" s="34">
        <f t="shared" si="2"/>
        <v>0.0152288538148749</v>
      </c>
      <c r="H13" s="35">
        <v>61.45</v>
      </c>
      <c r="I13" s="38"/>
      <c r="J13" s="55">
        <f t="shared" si="3"/>
        <v>0.935813066924061</v>
      </c>
      <c r="K13" s="29"/>
    </row>
    <row r="14" outlineLevel="2" spans="1:11">
      <c r="A14" s="28"/>
      <c r="B14" s="28" t="s">
        <v>75</v>
      </c>
      <c r="C14" s="8" t="s">
        <v>76</v>
      </c>
      <c r="D14" s="31">
        <v>57.2</v>
      </c>
      <c r="E14" s="32">
        <f>'Имуществ комплекс'!$B$2</f>
        <v>119600</v>
      </c>
      <c r="F14" s="33">
        <f>SUM(Прямые!$E$4:$E$7)</f>
        <v>0.699773673067095</v>
      </c>
      <c r="G14" s="34">
        <f t="shared" si="2"/>
        <v>0.000334674365379915</v>
      </c>
      <c r="H14" s="35">
        <v>519.15</v>
      </c>
      <c r="I14" s="38"/>
      <c r="J14" s="55">
        <f t="shared" si="3"/>
        <v>0.173746196786983</v>
      </c>
      <c r="K14" s="29"/>
    </row>
    <row r="15" outlineLevel="2" spans="1:11">
      <c r="A15" s="28"/>
      <c r="B15" s="28" t="s">
        <v>77</v>
      </c>
      <c r="C15" s="8" t="s">
        <v>78</v>
      </c>
      <c r="D15" s="31">
        <v>1</v>
      </c>
      <c r="E15" s="32">
        <f>'Имуществ комплекс'!$B$2</f>
        <v>119600</v>
      </c>
      <c r="F15" s="33">
        <f>SUM(Прямые!$E$4:$E$7)</f>
        <v>0.699773673067095</v>
      </c>
      <c r="G15" s="34">
        <f t="shared" si="2"/>
        <v>5.85095044370481e-6</v>
      </c>
      <c r="H15" s="35">
        <v>2029050</v>
      </c>
      <c r="I15" s="38"/>
      <c r="J15" s="55">
        <f t="shared" si="3"/>
        <v>11.8718709977992</v>
      </c>
      <c r="K15" s="29"/>
    </row>
    <row r="16" outlineLevel="2" spans="1:11">
      <c r="A16" s="36" t="s">
        <v>65</v>
      </c>
      <c r="B16" s="37"/>
      <c r="C16" s="37"/>
      <c r="D16" s="37"/>
      <c r="E16" s="37"/>
      <c r="F16" s="37"/>
      <c r="G16" s="37"/>
      <c r="H16" s="37"/>
      <c r="I16" s="56"/>
      <c r="J16" s="58">
        <f>SUM(J10:J15)</f>
        <v>15.6090334909566</v>
      </c>
      <c r="K16" s="29"/>
    </row>
    <row r="17" spans="1:11">
      <c r="A17" s="26" t="s">
        <v>79</v>
      </c>
      <c r="B17" s="27"/>
      <c r="C17" s="27"/>
      <c r="D17" s="27"/>
      <c r="E17" s="27"/>
      <c r="F17" s="27"/>
      <c r="G17" s="27"/>
      <c r="H17" s="27"/>
      <c r="I17" s="27"/>
      <c r="J17" s="27"/>
      <c r="K17" s="54"/>
    </row>
    <row r="18" ht="26.4" outlineLevel="1" spans="1:11">
      <c r="A18" s="28"/>
      <c r="B18" s="28" t="s">
        <v>80</v>
      </c>
      <c r="C18" s="28" t="s">
        <v>81</v>
      </c>
      <c r="D18" s="40">
        <v>87</v>
      </c>
      <c r="E18" s="32">
        <f>'Имуществ комплекс'!$B$2</f>
        <v>119600</v>
      </c>
      <c r="F18" s="33">
        <f>SUM(Прямые!$E$4:$E$7)</f>
        <v>0.699773673067095</v>
      </c>
      <c r="G18" s="34">
        <f t="shared" ref="G18:G20" si="4">D18*F18/E18</f>
        <v>0.000509032688602318</v>
      </c>
      <c r="H18" s="41">
        <v>6000</v>
      </c>
      <c r="I18" s="38"/>
      <c r="J18" s="55">
        <f t="shared" ref="J18:J20" si="5">H18*G18</f>
        <v>3.05419613161391</v>
      </c>
      <c r="K18" s="29"/>
    </row>
    <row r="19" ht="26.4" outlineLevel="1" spans="1:11">
      <c r="A19" s="28"/>
      <c r="B19" s="28" t="s">
        <v>82</v>
      </c>
      <c r="C19" s="28" t="s">
        <v>68</v>
      </c>
      <c r="D19" s="40">
        <v>16</v>
      </c>
      <c r="E19" s="32">
        <f>'Имуществ комплекс'!$B$2</f>
        <v>119600</v>
      </c>
      <c r="F19" s="33">
        <f>SUM(Прямые!$E$4:$E$7)</f>
        <v>0.699773673067095</v>
      </c>
      <c r="G19" s="34">
        <f t="shared" si="4"/>
        <v>9.36152070992769e-5</v>
      </c>
      <c r="H19" s="30">
        <v>7500</v>
      </c>
      <c r="I19" s="38"/>
      <c r="J19" s="55">
        <f t="shared" si="5"/>
        <v>0.702114053244577</v>
      </c>
      <c r="K19" s="29"/>
    </row>
    <row r="20" ht="26.4" outlineLevel="1" spans="1:11">
      <c r="A20" s="28"/>
      <c r="B20" s="28" t="s">
        <v>83</v>
      </c>
      <c r="C20" s="28" t="s">
        <v>68</v>
      </c>
      <c r="D20" s="40">
        <v>2</v>
      </c>
      <c r="E20" s="32">
        <f>'Имуществ комплекс'!$B$2</f>
        <v>119600</v>
      </c>
      <c r="F20" s="33">
        <f>SUM(Прямые!$E$4:$E$7)</f>
        <v>0.699773673067095</v>
      </c>
      <c r="G20" s="34">
        <f t="shared" si="4"/>
        <v>1.17019008874096e-5</v>
      </c>
      <c r="H20" s="30">
        <v>7500</v>
      </c>
      <c r="I20" s="38"/>
      <c r="J20" s="55">
        <f t="shared" si="5"/>
        <v>0.0877642566555721</v>
      </c>
      <c r="K20" s="29"/>
    </row>
    <row r="21" outlineLevel="1" spans="1:11">
      <c r="A21" s="36" t="s">
        <v>65</v>
      </c>
      <c r="B21" s="37"/>
      <c r="C21" s="37"/>
      <c r="D21" s="37"/>
      <c r="E21" s="37"/>
      <c r="F21" s="37"/>
      <c r="G21" s="37"/>
      <c r="H21" s="37"/>
      <c r="I21" s="56"/>
      <c r="J21" s="58">
        <f>SUM(J18:J20)</f>
        <v>3.84407444151406</v>
      </c>
      <c r="K21" s="29"/>
    </row>
    <row r="22" spans="1:11">
      <c r="A22" s="26" t="s">
        <v>84</v>
      </c>
      <c r="B22" s="27"/>
      <c r="C22" s="27"/>
      <c r="D22" s="27"/>
      <c r="E22" s="27"/>
      <c r="F22" s="27"/>
      <c r="G22" s="27"/>
      <c r="H22" s="27"/>
      <c r="I22" s="27"/>
      <c r="J22" s="27"/>
      <c r="K22" s="54"/>
    </row>
    <row r="23" outlineLevel="1" spans="1:11">
      <c r="A23" s="28"/>
      <c r="B23" s="28" t="s">
        <v>85</v>
      </c>
      <c r="C23" s="29" t="s">
        <v>86</v>
      </c>
      <c r="D23" s="40">
        <v>19</v>
      </c>
      <c r="E23" s="32">
        <f>'Имуществ комплекс'!$B$2</f>
        <v>119600</v>
      </c>
      <c r="F23" s="33">
        <f>SUM(Прямые!$E$4:$E$7)</f>
        <v>0.699773673067095</v>
      </c>
      <c r="G23" s="34">
        <f t="shared" ref="G23:G26" si="6">D23*F23/E23</f>
        <v>0.000111168058430391</v>
      </c>
      <c r="H23" s="30">
        <v>495.6</v>
      </c>
      <c r="I23" s="40">
        <v>12</v>
      </c>
      <c r="J23" s="55">
        <f>G23*H23*I23</f>
        <v>0.661138677097223</v>
      </c>
      <c r="K23" s="29"/>
    </row>
    <row r="24" outlineLevel="1" spans="1:11">
      <c r="A24" s="28"/>
      <c r="B24" s="28" t="s">
        <v>87</v>
      </c>
      <c r="C24" s="29" t="s">
        <v>86</v>
      </c>
      <c r="D24" s="40">
        <v>13</v>
      </c>
      <c r="E24" s="32">
        <f>'Имуществ комплекс'!$B$2</f>
        <v>119600</v>
      </c>
      <c r="F24" s="33">
        <f>SUM(Прямые!$E$4:$E$7)</f>
        <v>0.699773673067095</v>
      </c>
      <c r="G24" s="34">
        <f t="shared" si="6"/>
        <v>7.60623557681625e-5</v>
      </c>
      <c r="H24" s="30">
        <v>11932</v>
      </c>
      <c r="I24" s="40">
        <v>12</v>
      </c>
      <c r="J24" s="55">
        <f t="shared" ref="J24:J26" si="7">G24*H24*I24</f>
        <v>10.8909123483086</v>
      </c>
      <c r="K24" s="29"/>
    </row>
    <row r="25" outlineLevel="1" spans="1:11">
      <c r="A25" s="28"/>
      <c r="B25" s="28" t="s">
        <v>88</v>
      </c>
      <c r="C25" s="29" t="s">
        <v>89</v>
      </c>
      <c r="D25" s="40">
        <v>2</v>
      </c>
      <c r="E25" s="32">
        <f>'Имуществ комплекс'!$B$2</f>
        <v>119600</v>
      </c>
      <c r="F25" s="33">
        <f>SUM(Прямые!$E$4:$E$7)</f>
        <v>0.699773673067095</v>
      </c>
      <c r="G25" s="34">
        <f t="shared" si="6"/>
        <v>1.17019008874096e-5</v>
      </c>
      <c r="H25" s="30">
        <v>22498</v>
      </c>
      <c r="I25" s="40">
        <v>12</v>
      </c>
      <c r="J25" s="55">
        <f t="shared" si="7"/>
        <v>3.1592323939793</v>
      </c>
      <c r="K25" s="29"/>
    </row>
    <row r="26" ht="26.4" outlineLevel="1" spans="1:11">
      <c r="A26" s="42"/>
      <c r="B26" s="28" t="s">
        <v>90</v>
      </c>
      <c r="C26" s="30" t="s">
        <v>91</v>
      </c>
      <c r="D26" s="40">
        <v>1</v>
      </c>
      <c r="E26" s="32">
        <f>'Имуществ комплекс'!$B$2</f>
        <v>119600</v>
      </c>
      <c r="F26" s="33">
        <f>SUM(Прямые!$E$4:$E$7)</f>
        <v>0.699773673067095</v>
      </c>
      <c r="G26" s="34">
        <f t="shared" si="6"/>
        <v>5.85095044370481e-6</v>
      </c>
      <c r="H26" s="30">
        <v>1120</v>
      </c>
      <c r="I26" s="40">
        <v>12</v>
      </c>
      <c r="J26" s="55">
        <f t="shared" si="7"/>
        <v>0.0786367739633926</v>
      </c>
      <c r="K26" s="29"/>
    </row>
    <row r="27" outlineLevel="1" spans="1:11">
      <c r="A27" s="36" t="s">
        <v>65</v>
      </c>
      <c r="B27" s="37"/>
      <c r="C27" s="37"/>
      <c r="D27" s="37"/>
      <c r="E27" s="37"/>
      <c r="F27" s="37"/>
      <c r="G27" s="37"/>
      <c r="H27" s="37"/>
      <c r="I27" s="56"/>
      <c r="J27" s="58">
        <f>SUM(J23:J25)</f>
        <v>14.7112834193851</v>
      </c>
      <c r="K27" s="29"/>
    </row>
    <row r="28" spans="1:11">
      <c r="A28" s="26" t="s">
        <v>92</v>
      </c>
      <c r="B28" s="27"/>
      <c r="C28" s="27"/>
      <c r="D28" s="27"/>
      <c r="E28" s="27"/>
      <c r="F28" s="27"/>
      <c r="G28" s="27"/>
      <c r="H28" s="27"/>
      <c r="I28" s="27"/>
      <c r="J28" s="27"/>
      <c r="K28" s="54"/>
    </row>
    <row r="29" ht="26.4" outlineLevel="1" spans="1:11">
      <c r="A29" s="28"/>
      <c r="B29" s="28" t="s">
        <v>93</v>
      </c>
      <c r="C29" s="28" t="s">
        <v>94</v>
      </c>
      <c r="D29" s="40">
        <v>42</v>
      </c>
      <c r="E29" s="32">
        <f>'Имуществ комплекс'!$B$2</f>
        <v>119600</v>
      </c>
      <c r="F29" s="33">
        <f>SUM(Прямые!$E$4:$E$7)</f>
        <v>0.699773673067095</v>
      </c>
      <c r="G29" s="34">
        <f t="shared" ref="G29:G30" si="8">D29*F29/E29</f>
        <v>0.000245739918635602</v>
      </c>
      <c r="H29" s="30">
        <v>1183.85</v>
      </c>
      <c r="I29" s="38">
        <v>1</v>
      </c>
      <c r="J29" s="55">
        <f t="shared" ref="J29:J30" si="9">G29*H29*I29</f>
        <v>0.290919202676757</v>
      </c>
      <c r="K29" s="29"/>
    </row>
    <row r="30" ht="39.6" outlineLevel="1" spans="1:11">
      <c r="A30" s="28"/>
      <c r="B30" s="28" t="s">
        <v>95</v>
      </c>
      <c r="C30" s="28" t="s">
        <v>96</v>
      </c>
      <c r="D30" s="38">
        <v>1</v>
      </c>
      <c r="E30" s="32">
        <f>'Имуществ комплекс'!$B$2</f>
        <v>119600</v>
      </c>
      <c r="F30" s="33">
        <f>SUM(Прямые!$E$4:$E$7)</f>
        <v>0.699773673067095</v>
      </c>
      <c r="G30" s="34">
        <f t="shared" si="8"/>
        <v>5.85095044370481e-6</v>
      </c>
      <c r="H30" s="29">
        <v>179766</v>
      </c>
      <c r="I30" s="38">
        <v>2</v>
      </c>
      <c r="J30" s="55">
        <f t="shared" si="9"/>
        <v>2.10360391492608</v>
      </c>
      <c r="K30" s="29"/>
    </row>
    <row r="31" outlineLevel="1" spans="1:11">
      <c r="A31" s="36" t="s">
        <v>65</v>
      </c>
      <c r="B31" s="37"/>
      <c r="C31" s="37"/>
      <c r="D31" s="37"/>
      <c r="E31" s="37"/>
      <c r="F31" s="37"/>
      <c r="G31" s="37"/>
      <c r="H31" s="37"/>
      <c r="I31" s="56"/>
      <c r="J31" s="58">
        <f>SUM(J29:J30)</f>
        <v>2.39452311760283</v>
      </c>
      <c r="K31" s="29"/>
    </row>
    <row r="32" spans="1:11">
      <c r="A32" s="43" t="s">
        <v>97</v>
      </c>
      <c r="B32" s="44"/>
      <c r="C32" s="44"/>
      <c r="D32" s="44"/>
      <c r="E32" s="44"/>
      <c r="F32" s="44"/>
      <c r="G32" s="44"/>
      <c r="H32" s="44"/>
      <c r="I32" s="44"/>
      <c r="J32" s="44"/>
      <c r="K32" s="59"/>
    </row>
    <row r="33" outlineLevel="1" spans="1:11">
      <c r="A33" s="28"/>
      <c r="B33" s="45" t="s">
        <v>98</v>
      </c>
      <c r="C33" s="29" t="s">
        <v>99</v>
      </c>
      <c r="D33" s="40">
        <v>1</v>
      </c>
      <c r="E33" s="32">
        <f>'Имуществ комплекс'!$B$2</f>
        <v>119600</v>
      </c>
      <c r="F33" s="33">
        <f>SUM(Прямые!$E$4:$E$7)</f>
        <v>0.699773673067095</v>
      </c>
      <c r="G33" s="34">
        <f>D33*F33/E33</f>
        <v>5.85095044370481e-6</v>
      </c>
      <c r="H33" s="29">
        <f t="shared" ref="H33:H47" si="10">52308*1.302*12</f>
        <v>817260.192</v>
      </c>
      <c r="I33" s="38"/>
      <c r="J33" s="55">
        <f>G33*H33</f>
        <v>4.78174888300468</v>
      </c>
      <c r="K33" s="29"/>
    </row>
    <row r="34" outlineLevel="1" spans="1:11">
      <c r="A34" s="28"/>
      <c r="B34" s="45" t="s">
        <v>100</v>
      </c>
      <c r="C34" s="29" t="s">
        <v>99</v>
      </c>
      <c r="D34" s="40">
        <v>3</v>
      </c>
      <c r="E34" s="32">
        <f>'Имуществ комплекс'!$B$2</f>
        <v>119600</v>
      </c>
      <c r="F34" s="33">
        <f>SUM(Прямые!$E$4:$E$7)</f>
        <v>0.699773673067095</v>
      </c>
      <c r="G34" s="34">
        <f t="shared" ref="G34:G47" si="11">D34*F34/E34</f>
        <v>1.75528513311144e-5</v>
      </c>
      <c r="H34" s="29">
        <f t="shared" si="10"/>
        <v>817260.192</v>
      </c>
      <c r="I34" s="38"/>
      <c r="J34" s="55">
        <f t="shared" ref="J34:J47" si="12">G34*H34</f>
        <v>14.345246649014</v>
      </c>
      <c r="K34" s="29"/>
    </row>
    <row r="35" outlineLevel="1" spans="1:11">
      <c r="A35" s="28"/>
      <c r="B35" s="45" t="s">
        <v>101</v>
      </c>
      <c r="C35" s="29" t="s">
        <v>99</v>
      </c>
      <c r="D35" s="40">
        <v>1</v>
      </c>
      <c r="E35" s="32">
        <f>'Имуществ комплекс'!$B$2</f>
        <v>119600</v>
      </c>
      <c r="F35" s="33">
        <f>SUM(Прямые!$E$4:$E$7)</f>
        <v>0.699773673067095</v>
      </c>
      <c r="G35" s="34">
        <f t="shared" si="11"/>
        <v>5.85095044370481e-6</v>
      </c>
      <c r="H35" s="29">
        <f t="shared" si="10"/>
        <v>817260.192</v>
      </c>
      <c r="I35" s="38"/>
      <c r="J35" s="55">
        <f t="shared" si="12"/>
        <v>4.78174888300468</v>
      </c>
      <c r="K35" s="29"/>
    </row>
    <row r="36" outlineLevel="1" spans="1:11">
      <c r="A36" s="28"/>
      <c r="B36" s="45" t="s">
        <v>102</v>
      </c>
      <c r="C36" s="29" t="s">
        <v>99</v>
      </c>
      <c r="D36" s="40">
        <v>1</v>
      </c>
      <c r="E36" s="32">
        <f>'Имуществ комплекс'!$B$2</f>
        <v>119600</v>
      </c>
      <c r="F36" s="33">
        <f>SUM(Прямые!$E$4:$E$7)</f>
        <v>0.699773673067095</v>
      </c>
      <c r="G36" s="34">
        <f t="shared" si="11"/>
        <v>5.85095044370481e-6</v>
      </c>
      <c r="H36" s="29">
        <f t="shared" si="10"/>
        <v>817260.192</v>
      </c>
      <c r="I36" s="38"/>
      <c r="J36" s="55">
        <f t="shared" si="12"/>
        <v>4.78174888300468</v>
      </c>
      <c r="K36" s="29"/>
    </row>
    <row r="37" outlineLevel="1" spans="1:11">
      <c r="A37" s="28"/>
      <c r="B37" s="45" t="s">
        <v>103</v>
      </c>
      <c r="C37" s="29" t="s">
        <v>99</v>
      </c>
      <c r="D37" s="40">
        <v>1</v>
      </c>
      <c r="E37" s="32">
        <f>'Имуществ комплекс'!$B$2</f>
        <v>119600</v>
      </c>
      <c r="F37" s="33">
        <f>SUM(Прямые!$E$4:$E$7)</f>
        <v>0.699773673067095</v>
      </c>
      <c r="G37" s="34">
        <f t="shared" si="11"/>
        <v>5.85095044370481e-6</v>
      </c>
      <c r="H37" s="29">
        <f t="shared" si="10"/>
        <v>817260.192</v>
      </c>
      <c r="I37" s="38"/>
      <c r="J37" s="55">
        <f t="shared" si="12"/>
        <v>4.78174888300468</v>
      </c>
      <c r="K37" s="29"/>
    </row>
    <row r="38" outlineLevel="1" spans="1:11">
      <c r="A38" s="28"/>
      <c r="B38" s="45" t="s">
        <v>104</v>
      </c>
      <c r="C38" s="29" t="s">
        <v>99</v>
      </c>
      <c r="D38" s="40">
        <v>1</v>
      </c>
      <c r="E38" s="32">
        <f>'Имуществ комплекс'!$B$2</f>
        <v>119600</v>
      </c>
      <c r="F38" s="33">
        <f>SUM(Прямые!$E$4:$E$7)</f>
        <v>0.699773673067095</v>
      </c>
      <c r="G38" s="34">
        <f t="shared" si="11"/>
        <v>5.85095044370481e-6</v>
      </c>
      <c r="H38" s="29">
        <f t="shared" si="10"/>
        <v>817260.192</v>
      </c>
      <c r="I38" s="38"/>
      <c r="J38" s="55">
        <f t="shared" si="12"/>
        <v>4.78174888300468</v>
      </c>
      <c r="K38" s="29"/>
    </row>
    <row r="39" outlineLevel="1" spans="1:11">
      <c r="A39" s="28"/>
      <c r="B39" s="45" t="s">
        <v>105</v>
      </c>
      <c r="C39" s="29" t="s">
        <v>99</v>
      </c>
      <c r="D39" s="40">
        <v>2</v>
      </c>
      <c r="E39" s="32">
        <f>'Имуществ комплекс'!$B$2</f>
        <v>119600</v>
      </c>
      <c r="F39" s="33">
        <f>SUM(Прямые!$E$4:$E$7)</f>
        <v>0.699773673067095</v>
      </c>
      <c r="G39" s="34">
        <f t="shared" si="11"/>
        <v>1.17019008874096e-5</v>
      </c>
      <c r="H39" s="29">
        <f t="shared" si="10"/>
        <v>817260.192</v>
      </c>
      <c r="I39" s="38"/>
      <c r="J39" s="55">
        <f t="shared" si="12"/>
        <v>9.56349776600935</v>
      </c>
      <c r="K39" s="29"/>
    </row>
    <row r="40" outlineLevel="1" spans="1:11">
      <c r="A40" s="28"/>
      <c r="B40" s="45" t="s">
        <v>106</v>
      </c>
      <c r="C40" s="29" t="s">
        <v>99</v>
      </c>
      <c r="D40" s="40">
        <v>1</v>
      </c>
      <c r="E40" s="32">
        <f>'Имуществ комплекс'!$B$2</f>
        <v>119600</v>
      </c>
      <c r="F40" s="33">
        <f>SUM(Прямые!$E$4:$E$7)</f>
        <v>0.699773673067095</v>
      </c>
      <c r="G40" s="34">
        <f t="shared" si="11"/>
        <v>5.85095044370481e-6</v>
      </c>
      <c r="H40" s="29">
        <f t="shared" si="10"/>
        <v>817260.192</v>
      </c>
      <c r="I40" s="38"/>
      <c r="J40" s="55">
        <f t="shared" si="12"/>
        <v>4.78174888300468</v>
      </c>
      <c r="K40" s="29"/>
    </row>
    <row r="41" outlineLevel="1" spans="1:11">
      <c r="A41" s="28"/>
      <c r="B41" s="45" t="s">
        <v>107</v>
      </c>
      <c r="C41" s="29" t="s">
        <v>99</v>
      </c>
      <c r="D41" s="40">
        <v>1</v>
      </c>
      <c r="E41" s="32">
        <f>'Имуществ комплекс'!$B$2</f>
        <v>119600</v>
      </c>
      <c r="F41" s="33">
        <f>SUM(Прямые!$E$4:$E$7)</f>
        <v>0.699773673067095</v>
      </c>
      <c r="G41" s="34">
        <f t="shared" si="11"/>
        <v>5.85095044370481e-6</v>
      </c>
      <c r="H41" s="29">
        <f t="shared" si="10"/>
        <v>817260.192</v>
      </c>
      <c r="I41" s="38"/>
      <c r="J41" s="55">
        <f t="shared" si="12"/>
        <v>4.78174888300468</v>
      </c>
      <c r="K41" s="29"/>
    </row>
    <row r="42" outlineLevel="1" spans="1:11">
      <c r="A42" s="28"/>
      <c r="B42" s="45" t="s">
        <v>108</v>
      </c>
      <c r="C42" s="29" t="s">
        <v>99</v>
      </c>
      <c r="D42" s="40">
        <v>1</v>
      </c>
      <c r="E42" s="32">
        <f>'Имуществ комплекс'!$B$2</f>
        <v>119600</v>
      </c>
      <c r="F42" s="33">
        <f>SUM(Прямые!$E$4:$E$7)</f>
        <v>0.699773673067095</v>
      </c>
      <c r="G42" s="34">
        <f t="shared" si="11"/>
        <v>5.85095044370481e-6</v>
      </c>
      <c r="H42" s="29">
        <f t="shared" si="10"/>
        <v>817260.192</v>
      </c>
      <c r="I42" s="38"/>
      <c r="J42" s="55">
        <f t="shared" si="12"/>
        <v>4.78174888300468</v>
      </c>
      <c r="K42" s="29"/>
    </row>
    <row r="43" outlineLevel="1" spans="1:11">
      <c r="A43" s="28"/>
      <c r="B43" s="45" t="s">
        <v>109</v>
      </c>
      <c r="C43" s="29" t="s">
        <v>99</v>
      </c>
      <c r="D43" s="40">
        <v>0.5</v>
      </c>
      <c r="E43" s="32">
        <f>'Имуществ комплекс'!$B$2</f>
        <v>119600</v>
      </c>
      <c r="F43" s="33">
        <f>SUM(Прямые!$E$4:$E$7)</f>
        <v>0.699773673067095</v>
      </c>
      <c r="G43" s="34">
        <f t="shared" si="11"/>
        <v>2.9254752218524e-6</v>
      </c>
      <c r="H43" s="29">
        <f t="shared" si="10"/>
        <v>817260.192</v>
      </c>
      <c r="I43" s="38"/>
      <c r="J43" s="55">
        <f t="shared" si="12"/>
        <v>2.39087444150234</v>
      </c>
      <c r="K43" s="29"/>
    </row>
    <row r="44" outlineLevel="1" spans="1:11">
      <c r="A44" s="28"/>
      <c r="B44" s="45" t="s">
        <v>110</v>
      </c>
      <c r="C44" s="29" t="s">
        <v>99</v>
      </c>
      <c r="D44" s="40">
        <v>1</v>
      </c>
      <c r="E44" s="32">
        <f>'Имуществ комплекс'!$B$2</f>
        <v>119600</v>
      </c>
      <c r="F44" s="33">
        <f>SUM(Прямые!$E$4:$E$7)</f>
        <v>0.699773673067095</v>
      </c>
      <c r="G44" s="34">
        <f t="shared" si="11"/>
        <v>5.85095044370481e-6</v>
      </c>
      <c r="H44" s="29">
        <f t="shared" si="10"/>
        <v>817260.192</v>
      </c>
      <c r="I44" s="38"/>
      <c r="J44" s="55">
        <f t="shared" si="12"/>
        <v>4.78174888300468</v>
      </c>
      <c r="K44" s="29"/>
    </row>
    <row r="45" outlineLevel="1" spans="1:11">
      <c r="A45" s="28"/>
      <c r="B45" s="45" t="s">
        <v>111</v>
      </c>
      <c r="C45" s="29" t="s">
        <v>99</v>
      </c>
      <c r="D45" s="40">
        <v>1</v>
      </c>
      <c r="E45" s="32">
        <f>'Имуществ комплекс'!$B$2</f>
        <v>119600</v>
      </c>
      <c r="F45" s="33">
        <f>SUM(Прямые!$E$4:$E$7)</f>
        <v>0.699773673067095</v>
      </c>
      <c r="G45" s="34">
        <f t="shared" si="11"/>
        <v>5.85095044370481e-6</v>
      </c>
      <c r="H45" s="29">
        <f t="shared" si="10"/>
        <v>817260.192</v>
      </c>
      <c r="I45" s="38"/>
      <c r="J45" s="55">
        <f t="shared" si="12"/>
        <v>4.78174888300468</v>
      </c>
      <c r="K45" s="29"/>
    </row>
    <row r="46" outlineLevel="1" spans="1:11">
      <c r="A46" s="46"/>
      <c r="B46" s="47" t="s">
        <v>112</v>
      </c>
      <c r="C46" s="29" t="s">
        <v>99</v>
      </c>
      <c r="D46" s="40">
        <v>2</v>
      </c>
      <c r="E46" s="32">
        <f>'Имуществ комплекс'!$B$2</f>
        <v>119600</v>
      </c>
      <c r="F46" s="33">
        <f>SUM(Прямые!$E$4:$E$7)</f>
        <v>0.699773673067095</v>
      </c>
      <c r="G46" s="34">
        <f t="shared" si="11"/>
        <v>1.17019008874096e-5</v>
      </c>
      <c r="H46" s="29">
        <f t="shared" si="10"/>
        <v>817260.192</v>
      </c>
      <c r="I46" s="38"/>
      <c r="J46" s="55">
        <f t="shared" si="12"/>
        <v>9.56349776600935</v>
      </c>
      <c r="K46" s="29"/>
    </row>
    <row r="47" outlineLevel="1" spans="1:11">
      <c r="A47" s="28"/>
      <c r="B47" s="48" t="s">
        <v>113</v>
      </c>
      <c r="C47" s="29" t="s">
        <v>99</v>
      </c>
      <c r="D47" s="40">
        <v>1</v>
      </c>
      <c r="E47" s="32">
        <f>'Имуществ комплекс'!$B$2</f>
        <v>119600</v>
      </c>
      <c r="F47" s="33">
        <f>SUM(Прямые!$E$4:$E$7)</f>
        <v>0.699773673067095</v>
      </c>
      <c r="G47" s="34">
        <f t="shared" si="11"/>
        <v>5.85095044370481e-6</v>
      </c>
      <c r="H47" s="29">
        <f t="shared" si="10"/>
        <v>817260.192</v>
      </c>
      <c r="I47" s="38"/>
      <c r="J47" s="55">
        <f t="shared" si="12"/>
        <v>4.78174888300468</v>
      </c>
      <c r="K47" s="29"/>
    </row>
    <row r="48" outlineLevel="1" spans="1:11">
      <c r="A48" s="36" t="s">
        <v>65</v>
      </c>
      <c r="B48" s="37"/>
      <c r="C48" s="37"/>
      <c r="D48" s="37"/>
      <c r="E48" s="37"/>
      <c r="F48" s="37"/>
      <c r="G48" s="37"/>
      <c r="H48" s="37"/>
      <c r="I48" s="56"/>
      <c r="J48" s="58">
        <f>SUM(J33:J47)</f>
        <v>88.4623543355865</v>
      </c>
      <c r="K48" s="29"/>
    </row>
    <row r="49" spans="1:11">
      <c r="A49" s="26" t="s">
        <v>114</v>
      </c>
      <c r="B49" s="27"/>
      <c r="C49" s="27"/>
      <c r="D49" s="27"/>
      <c r="E49" s="27"/>
      <c r="F49" s="27"/>
      <c r="G49" s="27"/>
      <c r="H49" s="27"/>
      <c r="I49" s="27"/>
      <c r="J49" s="27"/>
      <c r="K49" s="54"/>
    </row>
    <row r="50" ht="13.8" outlineLevel="1" spans="1:11">
      <c r="A50" s="29"/>
      <c r="B50" s="49" t="s">
        <v>115</v>
      </c>
      <c r="C50" s="49" t="s">
        <v>116</v>
      </c>
      <c r="D50" s="38">
        <v>1</v>
      </c>
      <c r="E50" s="32">
        <f>'Имуществ комплекс'!$B$2</f>
        <v>119600</v>
      </c>
      <c r="F50" s="33">
        <f>SUM(Прямые!$E$4:$E$7)</f>
        <v>0.699773673067095</v>
      </c>
      <c r="G50" s="34">
        <f t="shared" ref="G50:G57" si="13">D50*F50/E50</f>
        <v>5.85095044370481e-6</v>
      </c>
      <c r="H50" s="49">
        <v>174876</v>
      </c>
      <c r="I50" s="38"/>
      <c r="J50" s="55">
        <f t="shared" ref="J50:J57" si="14">G50*H50</f>
        <v>1.02319080979332</v>
      </c>
      <c r="K50" s="29"/>
    </row>
    <row r="51" ht="13.8" outlineLevel="1" spans="1:11">
      <c r="A51" s="29"/>
      <c r="B51" s="49" t="s">
        <v>117</v>
      </c>
      <c r="C51" s="49" t="s">
        <v>116</v>
      </c>
      <c r="D51" s="38">
        <v>1</v>
      </c>
      <c r="E51" s="32">
        <f>'Имуществ комплекс'!$B$2</f>
        <v>119600</v>
      </c>
      <c r="F51" s="33">
        <f>SUM(Прямые!$E$4:$E$7)</f>
        <v>0.699773673067095</v>
      </c>
      <c r="G51" s="34">
        <f t="shared" si="13"/>
        <v>5.85095044370481e-6</v>
      </c>
      <c r="H51" s="49">
        <v>41700</v>
      </c>
      <c r="I51" s="38"/>
      <c r="J51" s="55">
        <f t="shared" si="14"/>
        <v>0.24398463350249</v>
      </c>
      <c r="K51" s="29"/>
    </row>
    <row r="52" ht="13.8" outlineLevel="1" spans="1:11">
      <c r="A52" s="29"/>
      <c r="B52" s="49" t="s">
        <v>118</v>
      </c>
      <c r="C52" s="49" t="s">
        <v>116</v>
      </c>
      <c r="D52" s="38">
        <v>1</v>
      </c>
      <c r="E52" s="32">
        <f>'Имуществ комплекс'!$B$2</f>
        <v>119600</v>
      </c>
      <c r="F52" s="33">
        <f>SUM(Прямые!$E$4:$E$7)</f>
        <v>0.699773673067095</v>
      </c>
      <c r="G52" s="34">
        <f t="shared" si="13"/>
        <v>5.85095044370481e-6</v>
      </c>
      <c r="H52" s="49">
        <v>30000</v>
      </c>
      <c r="I52" s="38"/>
      <c r="J52" s="55">
        <f t="shared" si="14"/>
        <v>0.175528513311144</v>
      </c>
      <c r="K52" s="29"/>
    </row>
    <row r="53" ht="13.8" outlineLevel="1" spans="1:11">
      <c r="A53" s="29"/>
      <c r="B53" s="49" t="s">
        <v>119</v>
      </c>
      <c r="C53" s="49" t="s">
        <v>116</v>
      </c>
      <c r="D53" s="38">
        <v>1</v>
      </c>
      <c r="E53" s="32">
        <f>'Имуществ комплекс'!$B$2</f>
        <v>119600</v>
      </c>
      <c r="F53" s="33">
        <f>SUM(Прямые!$E$4:$E$7)</f>
        <v>0.699773673067095</v>
      </c>
      <c r="G53" s="34">
        <f t="shared" si="13"/>
        <v>5.85095044370481e-6</v>
      </c>
      <c r="H53" s="49">
        <v>300000</v>
      </c>
      <c r="I53" s="38"/>
      <c r="J53" s="55">
        <f t="shared" si="14"/>
        <v>1.75528513311144</v>
      </c>
      <c r="K53" s="29"/>
    </row>
    <row r="54" ht="13.8" outlineLevel="1" spans="1:11">
      <c r="A54" s="29"/>
      <c r="B54" s="49" t="s">
        <v>120</v>
      </c>
      <c r="C54" s="49" t="s">
        <v>116</v>
      </c>
      <c r="D54" s="38">
        <v>1</v>
      </c>
      <c r="E54" s="32">
        <f>'Имуществ комплекс'!$B$2</f>
        <v>119600</v>
      </c>
      <c r="F54" s="33">
        <f>SUM(Прямые!$E$4:$E$7)</f>
        <v>0.699773673067095</v>
      </c>
      <c r="G54" s="34">
        <f t="shared" si="13"/>
        <v>5.85095044370481e-6</v>
      </c>
      <c r="H54" s="49">
        <v>368200</v>
      </c>
      <c r="I54" s="38"/>
      <c r="J54" s="55">
        <f t="shared" si="14"/>
        <v>2.15431995337211</v>
      </c>
      <c r="K54" s="29"/>
    </row>
    <row r="55" ht="13.8" outlineLevel="1" spans="1:11">
      <c r="A55" s="29"/>
      <c r="B55" s="49" t="s">
        <v>121</v>
      </c>
      <c r="C55" s="49" t="s">
        <v>122</v>
      </c>
      <c r="D55" s="50">
        <v>108</v>
      </c>
      <c r="E55" s="32">
        <f>'Имуществ комплекс'!$B$2</f>
        <v>119600</v>
      </c>
      <c r="F55" s="33">
        <f>SUM(Прямые!$E$4:$E$7)</f>
        <v>0.699773673067095</v>
      </c>
      <c r="G55" s="34">
        <f t="shared" si="13"/>
        <v>0.000631902647920119</v>
      </c>
      <c r="H55" s="49">
        <v>160</v>
      </c>
      <c r="I55" s="38"/>
      <c r="J55" s="55">
        <f t="shared" si="14"/>
        <v>0.101104423667219</v>
      </c>
      <c r="K55" s="29"/>
    </row>
    <row r="56" ht="13.8" outlineLevel="1" spans="1:11">
      <c r="A56" s="29"/>
      <c r="B56" s="49" t="s">
        <v>123</v>
      </c>
      <c r="C56" s="49" t="s">
        <v>116</v>
      </c>
      <c r="D56" s="38">
        <v>1</v>
      </c>
      <c r="E56" s="32">
        <f>'Имуществ комплекс'!$B$2</f>
        <v>119600</v>
      </c>
      <c r="F56" s="33">
        <f>SUM(Прямые!$E$4:$E$7)</f>
        <v>0.699773673067095</v>
      </c>
      <c r="G56" s="34">
        <f t="shared" si="13"/>
        <v>5.85095044370481e-6</v>
      </c>
      <c r="H56" s="49">
        <v>43250</v>
      </c>
      <c r="I56" s="38"/>
      <c r="J56" s="55">
        <f t="shared" si="14"/>
        <v>0.253053606690233</v>
      </c>
      <c r="K56" s="29"/>
    </row>
    <row r="57" ht="13.8" outlineLevel="1" spans="1:11">
      <c r="A57" s="29"/>
      <c r="B57" s="49" t="s">
        <v>124</v>
      </c>
      <c r="C57" s="49" t="s">
        <v>116</v>
      </c>
      <c r="D57" s="38">
        <v>1</v>
      </c>
      <c r="E57" s="32">
        <f>'Имуществ комплекс'!$B$2</f>
        <v>119600</v>
      </c>
      <c r="F57" s="51">
        <v>0.7</v>
      </c>
      <c r="G57" s="34">
        <f t="shared" si="13"/>
        <v>5.85284280936455e-6</v>
      </c>
      <c r="H57" s="49">
        <v>28640</v>
      </c>
      <c r="I57" s="38"/>
      <c r="J57" s="55">
        <f t="shared" si="14"/>
        <v>0.167625418060201</v>
      </c>
      <c r="K57" s="29"/>
    </row>
    <row r="58" outlineLevel="1" spans="1:11">
      <c r="A58" s="36" t="s">
        <v>65</v>
      </c>
      <c r="B58" s="37"/>
      <c r="C58" s="37"/>
      <c r="D58" s="37"/>
      <c r="E58" s="37"/>
      <c r="F58" s="37"/>
      <c r="G58" s="37"/>
      <c r="H58" s="37"/>
      <c r="I58" s="56"/>
      <c r="J58" s="58">
        <f>SUM(J50:J57)</f>
        <v>5.87409249150816</v>
      </c>
      <c r="K58" s="29"/>
    </row>
    <row r="59" ht="13.8" spans="2:10">
      <c r="B59" s="52" t="s">
        <v>44</v>
      </c>
      <c r="C59" s="53"/>
      <c r="D59" s="53"/>
      <c r="E59" s="53"/>
      <c r="F59" s="53"/>
      <c r="G59" s="53"/>
      <c r="H59" s="53"/>
      <c r="I59" s="60"/>
      <c r="J59" s="61">
        <f>J8+J16+J21+J27+J31+J48+J58</f>
        <v>137.934120419854</v>
      </c>
    </row>
  </sheetData>
  <mergeCells count="15">
    <mergeCell ref="A3:K3"/>
    <mergeCell ref="A8:I8"/>
    <mergeCell ref="A9:K9"/>
    <mergeCell ref="A16:I16"/>
    <mergeCell ref="A17:K17"/>
    <mergeCell ref="A21:I21"/>
    <mergeCell ref="A22:K22"/>
    <mergeCell ref="A27:I27"/>
    <mergeCell ref="A28:K28"/>
    <mergeCell ref="A31:I31"/>
    <mergeCell ref="A32:K32"/>
    <mergeCell ref="A48:I48"/>
    <mergeCell ref="A49:K49"/>
    <mergeCell ref="A58:I58"/>
    <mergeCell ref="B59:I59"/>
  </mergeCells>
  <pageMargins left="0.699305555555556" right="0.699305555555556" top="0.75" bottom="0.75" header="0.3" footer="0.3"/>
  <pageSetup paperSize="9" scale="74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A4" sqref="A4"/>
    </sheetView>
  </sheetViews>
  <sheetFormatPr defaultColWidth="8.85185185185185" defaultRowHeight="13.2"/>
  <cols>
    <col min="1" max="1" width="26" style="1" customWidth="1"/>
    <col min="2" max="2" width="8.85185185185185" style="1"/>
    <col min="3" max="3" width="13.1388888888889" style="1" customWidth="1"/>
    <col min="4" max="4" width="12.287037037037" style="1" customWidth="1"/>
    <col min="5" max="11" width="8.85185185185185" style="1"/>
    <col min="12" max="12" width="29.1388888888889" style="1" customWidth="1"/>
    <col min="13" max="16384" width="8.85185185185185" style="1"/>
  </cols>
  <sheetData>
    <row r="1" ht="70.5" customHeight="1" spans="1:12">
      <c r="A1" s="2" t="s">
        <v>125</v>
      </c>
      <c r="B1" s="2" t="s">
        <v>126</v>
      </c>
      <c r="C1" s="2"/>
      <c r="D1" s="2"/>
      <c r="E1" s="2" t="s">
        <v>127</v>
      </c>
      <c r="F1" s="2"/>
      <c r="G1" s="2"/>
      <c r="H1" s="2"/>
      <c r="I1" s="2"/>
      <c r="J1" s="2"/>
      <c r="K1" s="2"/>
      <c r="L1" s="2" t="s">
        <v>128</v>
      </c>
    </row>
    <row r="2" ht="16.5" customHeight="1" spans="1:12">
      <c r="A2" s="2"/>
      <c r="B2" s="2" t="s">
        <v>129</v>
      </c>
      <c r="C2" s="2" t="s">
        <v>130</v>
      </c>
      <c r="D2" s="2" t="s">
        <v>131</v>
      </c>
      <c r="E2" s="2" t="s">
        <v>132</v>
      </c>
      <c r="F2" s="2" t="s">
        <v>133</v>
      </c>
      <c r="G2" s="2" t="s">
        <v>134</v>
      </c>
      <c r="H2" s="2" t="s">
        <v>135</v>
      </c>
      <c r="I2" s="2" t="s">
        <v>136</v>
      </c>
      <c r="J2" s="2" t="s">
        <v>137</v>
      </c>
      <c r="K2" s="2" t="s">
        <v>138</v>
      </c>
      <c r="L2" s="2"/>
    </row>
    <row r="3" spans="1:1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 t="s">
        <v>139</v>
      </c>
    </row>
    <row r="4" ht="79.2" spans="1:12">
      <c r="A4" s="8" t="s">
        <v>140</v>
      </c>
      <c r="B4" s="19">
        <f>Прямые!H8</f>
        <v>290.30313015602</v>
      </c>
      <c r="C4" s="10">
        <f>Прямые!H19</f>
        <v>0.487384098707746</v>
      </c>
      <c r="D4" s="10">
        <f>Прямые!H26</f>
        <v>1.7426808790246</v>
      </c>
      <c r="E4" s="19">
        <f>ОХН!J8</f>
        <v>7.03875912330078</v>
      </c>
      <c r="F4" s="19">
        <f>ОХН!J16</f>
        <v>15.6090334909566</v>
      </c>
      <c r="G4" s="10">
        <f>ОХН!J21</f>
        <v>3.84407444151406</v>
      </c>
      <c r="H4" s="10">
        <f>ОХН!J27</f>
        <v>14.7112834193851</v>
      </c>
      <c r="I4" s="10">
        <f>ОХН!J31</f>
        <v>2.39452311760283</v>
      </c>
      <c r="J4" s="10">
        <f>ОХН!J48</f>
        <v>88.4623543355865</v>
      </c>
      <c r="K4" s="10">
        <f>ОХН!J58</f>
        <v>5.87409249150816</v>
      </c>
      <c r="L4" s="19">
        <f>B4+C4+D4+E4+F4+G4+H4+I4+J4+K4</f>
        <v>430.467315553606</v>
      </c>
    </row>
    <row r="5" spans="12:12">
      <c r="L5" s="20"/>
    </row>
    <row r="11" spans="4:4">
      <c r="D11" s="1" t="s">
        <v>141</v>
      </c>
    </row>
  </sheetData>
  <mergeCells count="4">
    <mergeCell ref="B1:D1"/>
    <mergeCell ref="E1:K1"/>
    <mergeCell ref="A1:A2"/>
    <mergeCell ref="L1:L2"/>
  </mergeCells>
  <pageMargins left="0.699305555555556" right="0.699305555555556" top="0.75" bottom="0.75" header="0.3" footer="0.3"/>
  <pageSetup paperSize="9" scale="86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A4" sqref="A4:A5"/>
    </sheetView>
  </sheetViews>
  <sheetFormatPr defaultColWidth="8.85185185185185" defaultRowHeight="13.2"/>
  <cols>
    <col min="1" max="1" width="22.1388888888889" style="1" customWidth="1"/>
    <col min="2" max="2" width="15" style="1" customWidth="1"/>
    <col min="3" max="3" width="7.13888888888889" style="1" customWidth="1"/>
    <col min="4" max="4" width="5.71296296296296" style="1" customWidth="1"/>
    <col min="5" max="5" width="4.42592592592593" style="1" customWidth="1"/>
    <col min="6" max="6" width="5.42592592592593" style="1" customWidth="1"/>
    <col min="7" max="7" width="36.287037037037" style="1" customWidth="1"/>
    <col min="8" max="8" width="36.712962962963" style="1" customWidth="1"/>
    <col min="9" max="9" width="15.712962962963" style="1" customWidth="1"/>
    <col min="10" max="10" width="45.287037037037" style="1" customWidth="1"/>
    <col min="11" max="11" width="22.5740740740741" style="1" customWidth="1"/>
    <col min="12" max="12" width="19.4259259259259" style="1" customWidth="1"/>
    <col min="13" max="16384" width="8.85185185185185" style="1"/>
  </cols>
  <sheetData>
    <row r="1" ht="89.25" customHeight="1" spans="1:12">
      <c r="A1" s="4" t="s">
        <v>125</v>
      </c>
      <c r="B1" s="4" t="s">
        <v>142</v>
      </c>
      <c r="C1" s="5" t="s">
        <v>143</v>
      </c>
      <c r="D1" s="16"/>
      <c r="E1" s="16"/>
      <c r="F1" s="17"/>
      <c r="G1" s="4" t="s">
        <v>144</v>
      </c>
      <c r="H1" s="4" t="s">
        <v>145</v>
      </c>
      <c r="I1" s="4" t="s">
        <v>146</v>
      </c>
      <c r="J1" s="4" t="s">
        <v>147</v>
      </c>
      <c r="K1" s="4" t="s">
        <v>148</v>
      </c>
      <c r="L1" s="4" t="s">
        <v>149</v>
      </c>
    </row>
    <row r="2" spans="1:12">
      <c r="A2" s="18"/>
      <c r="B2" s="18"/>
      <c r="C2" s="3" t="s">
        <v>65</v>
      </c>
      <c r="D2" s="2" t="s">
        <v>129</v>
      </c>
      <c r="E2" s="2" t="s">
        <v>132</v>
      </c>
      <c r="F2" s="2" t="s">
        <v>133</v>
      </c>
      <c r="G2" s="18"/>
      <c r="H2" s="18"/>
      <c r="I2" s="18"/>
      <c r="J2" s="18"/>
      <c r="K2" s="18"/>
      <c r="L2" s="18"/>
    </row>
    <row r="3" spans="1:12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 t="s">
        <v>150</v>
      </c>
      <c r="J3" s="6">
        <v>10</v>
      </c>
      <c r="K3" s="6" t="s">
        <v>151</v>
      </c>
      <c r="L3" s="6">
        <v>12</v>
      </c>
    </row>
    <row r="4" ht="89.25" customHeight="1" spans="1:12">
      <c r="A4" s="13" t="s">
        <v>152</v>
      </c>
      <c r="B4" s="8" t="s">
        <v>153</v>
      </c>
      <c r="C4" s="10">
        <f>'ИТОГО БНЗ'!$L$4</f>
        <v>430.467315553606</v>
      </c>
      <c r="D4" s="10">
        <f>'ИТОГО БНЗ'!$B$4</f>
        <v>290.30313015602</v>
      </c>
      <c r="E4" s="10">
        <f>'ИТОГО БНЗ'!$E$4</f>
        <v>7.03875912330078</v>
      </c>
      <c r="F4" s="10">
        <f>'ИТОГО БНЗ'!$F$4</f>
        <v>15.6090334909566</v>
      </c>
      <c r="G4" s="10">
        <v>61241</v>
      </c>
      <c r="H4" s="10">
        <v>61241</v>
      </c>
      <c r="I4" s="10">
        <f>G4/H4</f>
        <v>1</v>
      </c>
      <c r="J4" s="10">
        <f>E4+F4</f>
        <v>22.6477926142573</v>
      </c>
      <c r="K4" s="10">
        <f>J4/(E4+F4)</f>
        <v>1</v>
      </c>
      <c r="L4" s="10">
        <f>(D4/C4*I4)+(1-D4/C4)*K4</f>
        <v>1</v>
      </c>
    </row>
    <row r="5" spans="1:12">
      <c r="A5" s="15"/>
      <c r="B5" s="8" t="s">
        <v>154</v>
      </c>
      <c r="C5" s="10">
        <f>'ИТОГО БНЗ'!$L$4</f>
        <v>430.467315553606</v>
      </c>
      <c r="D5" s="10">
        <f>'ИТОГО БНЗ'!$B$4</f>
        <v>290.30313015602</v>
      </c>
      <c r="E5" s="10">
        <f>'ИТОГО БНЗ'!$E$4</f>
        <v>7.03875912330078</v>
      </c>
      <c r="F5" s="10">
        <f>'ИТОГО БНЗ'!$F$4</f>
        <v>15.6090334909566</v>
      </c>
      <c r="G5" s="10">
        <v>40660</v>
      </c>
      <c r="H5" s="10">
        <v>61241</v>
      </c>
      <c r="I5" s="10">
        <f>G5/H5</f>
        <v>0.66393429238582</v>
      </c>
      <c r="J5" s="10">
        <v>16.05</v>
      </c>
      <c r="K5" s="10">
        <f>J5/(E5+F5)</f>
        <v>0.7086783367089</v>
      </c>
      <c r="L5" s="10">
        <f>(D5/C5*I5)+(1-D5/C5)*K5</f>
        <v>0.678503371842811</v>
      </c>
    </row>
    <row r="11" spans="4:4">
      <c r="D11" s="1" t="s">
        <v>141</v>
      </c>
    </row>
  </sheetData>
  <mergeCells count="10">
    <mergeCell ref="C1:F1"/>
    <mergeCell ref="A1:A2"/>
    <mergeCell ref="A4:A5"/>
    <mergeCell ref="B1:B2"/>
    <mergeCell ref="G1:G2"/>
    <mergeCell ref="H1:H2"/>
    <mergeCell ref="I1:I2"/>
    <mergeCell ref="J1:J2"/>
    <mergeCell ref="K1:K2"/>
    <mergeCell ref="L1:L2"/>
  </mergeCells>
  <pageMargins left="0.699305555555556" right="0.699305555555556" top="0.75" bottom="0.75" header="0.3" footer="0.3"/>
  <pageSetup paperSize="9" scale="5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"/>
  <sheetViews>
    <sheetView workbookViewId="0">
      <selection activeCell="D6" sqref="D6"/>
    </sheetView>
  </sheetViews>
  <sheetFormatPr defaultColWidth="8.85185185185185" defaultRowHeight="13.2" outlineLevelRow="3" outlineLevelCol="2"/>
  <cols>
    <col min="1" max="1" width="22.1388888888889" style="1" customWidth="1"/>
    <col min="2" max="2" width="15" style="1" customWidth="1"/>
    <col min="3" max="3" width="15.4259259259259" style="1" customWidth="1"/>
    <col min="4" max="16384" width="8.85185185185185" style="1"/>
  </cols>
  <sheetData>
    <row r="1" ht="51" customHeight="1" spans="1:3">
      <c r="A1" s="2" t="s">
        <v>125</v>
      </c>
      <c r="B1" s="3" t="s">
        <v>155</v>
      </c>
      <c r="C1" s="5" t="s">
        <v>156</v>
      </c>
    </row>
    <row r="2" spans="1:3">
      <c r="A2" s="6">
        <v>1</v>
      </c>
      <c r="B2" s="6">
        <v>2</v>
      </c>
      <c r="C2" s="6">
        <v>3</v>
      </c>
    </row>
    <row r="3" ht="89.25" customHeight="1" spans="1:3">
      <c r="A3" s="13" t="s">
        <v>157</v>
      </c>
      <c r="B3" s="14" t="s">
        <v>158</v>
      </c>
      <c r="C3" s="11">
        <v>1</v>
      </c>
    </row>
    <row r="4" ht="39.6" spans="1:3">
      <c r="A4" s="15"/>
      <c r="B4" s="14" t="s">
        <v>159</v>
      </c>
      <c r="C4" s="11">
        <v>1.82555</v>
      </c>
    </row>
  </sheetData>
  <mergeCells count="1">
    <mergeCell ref="A3:A4"/>
  </mergeCells>
  <pageMargins left="0.699305555555556" right="0.699305555555556" top="0.75" bottom="0.75" header="0.3" footer="0.3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workbookViewId="0">
      <selection activeCell="A7" sqref="A7"/>
    </sheetView>
  </sheetViews>
  <sheetFormatPr defaultColWidth="8.85185185185185" defaultRowHeight="13.2" outlineLevelRow="5" outlineLevelCol="6"/>
  <cols>
    <col min="1" max="1" width="22.1388888888889" style="1" customWidth="1"/>
    <col min="2" max="2" width="31.4259259259259" style="1" customWidth="1"/>
    <col min="3" max="3" width="21.8518518518519" style="1" customWidth="1"/>
    <col min="4" max="4" width="18" style="1" customWidth="1"/>
    <col min="5" max="5" width="20.1388888888889" style="1" customWidth="1"/>
    <col min="6" max="6" width="15.5740740740741" style="1" customWidth="1"/>
    <col min="7" max="7" width="20.5740740740741" style="1" customWidth="1"/>
    <col min="8" max="16384" width="8.85185185185185" style="1"/>
  </cols>
  <sheetData>
    <row r="1" ht="51" customHeight="1" spans="1:7">
      <c r="A1" s="2" t="s">
        <v>125</v>
      </c>
      <c r="B1" s="3" t="s">
        <v>155</v>
      </c>
      <c r="C1" s="2" t="s">
        <v>160</v>
      </c>
      <c r="D1" s="4" t="s">
        <v>128</v>
      </c>
      <c r="E1" s="5" t="s">
        <v>156</v>
      </c>
      <c r="F1" s="4" t="s">
        <v>149</v>
      </c>
      <c r="G1" s="4" t="s">
        <v>161</v>
      </c>
    </row>
    <row r="2" spans="1:7">
      <c r="A2" s="6">
        <v>1</v>
      </c>
      <c r="B2" s="6">
        <v>2</v>
      </c>
      <c r="C2" s="6">
        <v>3</v>
      </c>
      <c r="D2" s="6">
        <v>4</v>
      </c>
      <c r="E2" s="6">
        <v>5</v>
      </c>
      <c r="F2" s="6">
        <v>6</v>
      </c>
      <c r="G2" s="6" t="s">
        <v>162</v>
      </c>
    </row>
    <row r="3" spans="1:7">
      <c r="A3" s="7" t="s">
        <v>157</v>
      </c>
      <c r="B3" s="8" t="s">
        <v>158</v>
      </c>
      <c r="C3" s="9" t="s">
        <v>153</v>
      </c>
      <c r="D3" s="10">
        <f>'ИТОГО БНЗ'!$L$4</f>
        <v>430.467315553606</v>
      </c>
      <c r="E3" s="11">
        <f>'Отр КК'!$C$3</f>
        <v>1</v>
      </c>
      <c r="F3" s="10">
        <f>'Тер КК'!$L$4</f>
        <v>1</v>
      </c>
      <c r="G3" s="12">
        <f>D3*E3*F3</f>
        <v>430.467315553606</v>
      </c>
    </row>
    <row r="4" spans="1:7">
      <c r="A4" s="7"/>
      <c r="B4" s="8" t="s">
        <v>158</v>
      </c>
      <c r="C4" s="9" t="s">
        <v>154</v>
      </c>
      <c r="D4" s="10">
        <f>'ИТОГО БНЗ'!$L$4</f>
        <v>430.467315553606</v>
      </c>
      <c r="E4" s="11">
        <f>'Отр КК'!$C$3</f>
        <v>1</v>
      </c>
      <c r="F4" s="10">
        <f>'Тер КК'!$L$5</f>
        <v>0.678503371842811</v>
      </c>
      <c r="G4" s="12">
        <f t="shared" ref="G4:G6" si="0">D4*E4*F4</f>
        <v>292.073525071245</v>
      </c>
    </row>
    <row r="5" ht="44.25" customHeight="1" spans="1:7">
      <c r="A5" s="7"/>
      <c r="B5" s="8" t="s">
        <v>159</v>
      </c>
      <c r="C5" s="9" t="s">
        <v>153</v>
      </c>
      <c r="D5" s="10">
        <f>'ИТОГО БНЗ'!$L$4</f>
        <v>430.467315553606</v>
      </c>
      <c r="E5" s="11">
        <f>'Отр КК'!$C$4</f>
        <v>1.82555</v>
      </c>
      <c r="F5" s="10">
        <f>'Тер КК'!$L$4</f>
        <v>1</v>
      </c>
      <c r="G5" s="12">
        <f t="shared" si="0"/>
        <v>785.839607908886</v>
      </c>
    </row>
    <row r="6" spans="1:7">
      <c r="A6" s="7"/>
      <c r="B6" s="8" t="s">
        <v>159</v>
      </c>
      <c r="C6" s="9" t="s">
        <v>154</v>
      </c>
      <c r="D6" s="10">
        <f>'ИТОГО БНЗ'!$L$4</f>
        <v>430.467315553606</v>
      </c>
      <c r="E6" s="11">
        <f>'Отр КК'!$C$4</f>
        <v>1.82555</v>
      </c>
      <c r="F6" s="10">
        <f>'Тер КК'!$L$5</f>
        <v>0.678503371842811</v>
      </c>
      <c r="G6" s="12">
        <f t="shared" si="0"/>
        <v>533.194823693811</v>
      </c>
    </row>
  </sheetData>
  <mergeCells count="1">
    <mergeCell ref="A3:A6"/>
  </mergeCells>
  <pageMargins left="0.699305555555556" right="0.699305555555556" top="0.75" bottom="0.75" header="0.3" footer="0.3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Имуществ комплекс</vt:lpstr>
      <vt:lpstr>Прямые</vt:lpstr>
      <vt:lpstr>ОХН</vt:lpstr>
      <vt:lpstr>ИТОГО БНЗ</vt:lpstr>
      <vt:lpstr>Тер КК</vt:lpstr>
      <vt:lpstr>Отр КК</vt:lpstr>
      <vt:lpstr>НЗ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ЕФАНОВ АЛЕКСАНДР АЛЕКСАНДРОВИЧ</dc:creator>
  <cp:lastModifiedBy>google1580108439</cp:lastModifiedBy>
  <dcterms:created xsi:type="dcterms:W3CDTF">2015-01-28T06:12:00Z</dcterms:created>
  <cp:lastPrinted>2015-02-02T13:12:00Z</cp:lastPrinted>
  <dcterms:modified xsi:type="dcterms:W3CDTF">2021-05-13T14:16:52Z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1049-10.2.0.7636</vt:lpwstr>
  </property>
</Properties>
</file>